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abien.cheret\Desktop\"/>
    </mc:Choice>
  </mc:AlternateContent>
  <bookViews>
    <workbookView xWindow="-120" yWindow="-120" windowWidth="29040" windowHeight="17640" firstSheet="3" activeTab="9"/>
  </bookViews>
  <sheets>
    <sheet name="Frese S" sheetId="8" r:id="rId1"/>
    <sheet name="Frese SIGMA Compact" sheetId="23" r:id="rId2"/>
    <sheet name="Frese OPTIMA" sheetId="9" r:id="rId3"/>
    <sheet name="Frese OPTIMA Compact" sheetId="12" r:id="rId4"/>
    <sheet name="Frese OPTIMA Compact Flanged" sheetId="16" r:id="rId5"/>
    <sheet name="ALPHA" sheetId="17" r:id="rId6"/>
    <sheet name="ALPHA Wafer" sheetId="18" r:id="rId7"/>
    <sheet name="Frese OPTIMIZER" sheetId="19" r:id="rId8"/>
    <sheet name="Frese STBV DN15-50" sheetId="20" r:id="rId9"/>
    <sheet name="Frese STBV DN65-300" sheetId="22" r:id="rId10"/>
    <sheet name="Ark2" sheetId="21" r:id="rId11"/>
  </sheets>
  <externalReferences>
    <externalReference r:id="rId12"/>
  </externalReferences>
  <definedNames>
    <definedName name="_xlnm.Print_Area" localSheetId="2">'Frese OPTIMA'!$A$1:$I$33</definedName>
    <definedName name="_xlnm.Print_Area" localSheetId="3">'Frese OPTIMA Compact'!$A$1:$I$37</definedName>
    <definedName name="_xlnm.Print_Area" localSheetId="4">'Frese OPTIMA Compact Flanged'!$A$1:$I$38</definedName>
    <definedName name="_xlnm.Print_Area" localSheetId="7">'Frese OPTIMIZER'!$A$1:$I$35</definedName>
    <definedName name="_xlnm.Print_Area" localSheetId="0">'Frese S'!$A$1:$I$33</definedName>
    <definedName name="_xlnm.Print_Area" localSheetId="1">'Frese SIGMA Compact'!$A$1:$I$33</definedName>
    <definedName name="_xlnm.Print_Area" localSheetId="8">'Frese STBV DN15-50'!$A$1:$I$23</definedName>
    <definedName name="_xlnm.Print_Area" localSheetId="9">'Frese STBV DN65-300'!$A$1:$I$23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56" i="16" l="1"/>
  <c r="C55" i="16"/>
  <c r="B56" i="16"/>
  <c r="B55" i="16"/>
  <c r="D25" i="16" l="1"/>
  <c r="D26" i="16"/>
  <c r="D55" i="16"/>
  <c r="D56" i="16"/>
  <c r="C54" i="16"/>
  <c r="B54" i="16"/>
  <c r="C53" i="16"/>
  <c r="B53" i="16"/>
  <c r="C52" i="16"/>
  <c r="B52" i="16"/>
  <c r="C51" i="16"/>
  <c r="B51" i="16"/>
  <c r="C50" i="16"/>
  <c r="B50" i="16"/>
  <c r="C49" i="16"/>
  <c r="B49" i="16"/>
  <c r="C48" i="16"/>
  <c r="B48" i="16"/>
  <c r="C47" i="16"/>
  <c r="B47" i="16"/>
  <c r="C46" i="16"/>
  <c r="B46" i="16"/>
  <c r="C45" i="16"/>
  <c r="B45" i="16"/>
  <c r="C44" i="16"/>
  <c r="B44" i="16"/>
  <c r="C43" i="16"/>
  <c r="B43" i="16"/>
  <c r="C42" i="16"/>
  <c r="B42" i="16"/>
  <c r="C41" i="16"/>
  <c r="B41" i="16"/>
  <c r="D14" i="16" l="1"/>
  <c r="D11" i="16"/>
  <c r="D46" i="16"/>
  <c r="D16" i="16" s="1"/>
  <c r="D54" i="16"/>
  <c r="D49" i="16"/>
  <c r="D19" i="16" s="1"/>
  <c r="D13" i="16"/>
  <c r="D48" i="16"/>
  <c r="D18" i="16" s="1"/>
  <c r="D45" i="16"/>
  <c r="D15" i="16" s="1"/>
  <c r="D24" i="16"/>
  <c r="D43" i="16"/>
  <c r="D41" i="16"/>
  <c r="D51" i="16"/>
  <c r="D21" i="16" s="1"/>
  <c r="D53" i="16"/>
  <c r="D23" i="16" s="1"/>
  <c r="D47" i="16"/>
  <c r="D17" i="16" s="1"/>
  <c r="D50" i="16"/>
  <c r="D20" i="16" s="1"/>
  <c r="D52" i="16"/>
  <c r="D22" i="16" s="1"/>
  <c r="D42" i="16"/>
  <c r="D12" i="16" s="1"/>
  <c r="D44" i="16"/>
  <c r="C45" i="12"/>
  <c r="D45" i="12" s="1"/>
  <c r="B45" i="12"/>
  <c r="D16" i="12" l="1"/>
  <c r="C40" i="23"/>
  <c r="B41" i="23"/>
  <c r="C41" i="23"/>
  <c r="B40" i="23"/>
  <c r="D40" i="23" l="1"/>
  <c r="D15" i="23" s="1"/>
  <c r="B49" i="12" l="1"/>
  <c r="C49" i="12"/>
  <c r="C50" i="12"/>
  <c r="B50" i="12"/>
  <c r="D50" i="12" l="1"/>
  <c r="D21" i="12" s="1"/>
  <c r="D49" i="12" l="1"/>
  <c r="D20" i="12" s="1"/>
  <c r="B42" i="23" l="1"/>
  <c r="B39" i="23"/>
  <c r="B38" i="23"/>
  <c r="B37" i="23"/>
  <c r="B36" i="23"/>
  <c r="B43" i="23"/>
  <c r="B44" i="23"/>
  <c r="C44" i="23"/>
  <c r="C43" i="23"/>
  <c r="C42" i="23"/>
  <c r="C39" i="23"/>
  <c r="C38" i="23"/>
  <c r="C37" i="23"/>
  <c r="C36" i="23"/>
  <c r="D43" i="23" l="1"/>
  <c r="D18" i="23" s="1"/>
  <c r="D41" i="23"/>
  <c r="D16" i="23" s="1"/>
  <c r="D38" i="23"/>
  <c r="D13" i="23" s="1"/>
  <c r="D37" i="23"/>
  <c r="D12" i="23" s="1"/>
  <c r="D39" i="23"/>
  <c r="D14" i="23" s="1"/>
  <c r="C42" i="22" l="1"/>
  <c r="C41" i="22"/>
  <c r="C40" i="22"/>
  <c r="C39" i="22"/>
  <c r="C38" i="22"/>
  <c r="C37" i="22"/>
  <c r="C36" i="22"/>
  <c r="C35" i="22"/>
  <c r="C18" i="22"/>
  <c r="C17" i="22"/>
  <c r="C16" i="22"/>
  <c r="C15" i="22"/>
  <c r="C14" i="22"/>
  <c r="C13" i="22"/>
  <c r="C12" i="22"/>
  <c r="C11" i="22"/>
  <c r="C42" i="20" l="1"/>
  <c r="C41" i="20"/>
  <c r="C40" i="20"/>
  <c r="C39" i="20"/>
  <c r="C38" i="20"/>
  <c r="C37" i="20"/>
  <c r="C36" i="20"/>
  <c r="C35" i="20"/>
  <c r="C18" i="20"/>
  <c r="C17" i="20"/>
  <c r="C16" i="20"/>
  <c r="C15" i="20"/>
  <c r="C14" i="20"/>
  <c r="C13" i="20"/>
  <c r="C12" i="20"/>
  <c r="C11" i="20"/>
  <c r="C47" i="19" l="1"/>
  <c r="B47" i="19"/>
  <c r="C46" i="19"/>
  <c r="B46" i="19"/>
  <c r="D20" i="19" s="1"/>
  <c r="C45" i="19"/>
  <c r="B45" i="19"/>
  <c r="C44" i="19"/>
  <c r="B44" i="19"/>
  <c r="C43" i="19"/>
  <c r="B43" i="19"/>
  <c r="C42" i="19"/>
  <c r="B42" i="19"/>
  <c r="C41" i="19"/>
  <c r="B41" i="19"/>
  <c r="C40" i="19"/>
  <c r="B40" i="19"/>
  <c r="C39" i="19"/>
  <c r="B39" i="19"/>
  <c r="C38" i="19"/>
  <c r="B38" i="19"/>
  <c r="E20" i="19" l="1"/>
  <c r="D39" i="19"/>
  <c r="D43" i="19"/>
  <c r="D47" i="19"/>
  <c r="D41" i="19"/>
  <c r="D18" i="19"/>
  <c r="E18" i="19" s="1"/>
  <c r="D19" i="19"/>
  <c r="E19" i="19" s="1"/>
  <c r="D38" i="19"/>
  <c r="D45" i="19"/>
  <c r="D40" i="19"/>
  <c r="D42" i="19"/>
  <c r="D44" i="19"/>
  <c r="D46" i="19"/>
  <c r="C54" i="12"/>
  <c r="B54" i="12"/>
  <c r="C53" i="12"/>
  <c r="B53" i="12"/>
  <c r="C47" i="18"/>
  <c r="C49" i="18"/>
  <c r="G9" i="18" s="1"/>
  <c r="C48" i="18"/>
  <c r="C44" i="18"/>
  <c r="C4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53" i="18"/>
  <c r="C42" i="18" s="1"/>
  <c r="C37" i="17"/>
  <c r="C36" i="17"/>
  <c r="C35" i="17"/>
  <c r="C74" i="17"/>
  <c r="C75" i="17"/>
  <c r="C76" i="17"/>
  <c r="C77" i="17"/>
  <c r="C78" i="17"/>
  <c r="C79" i="17"/>
  <c r="C80" i="17"/>
  <c r="C81" i="17"/>
  <c r="C82" i="17"/>
  <c r="C83" i="17"/>
  <c r="C84" i="17"/>
  <c r="C85" i="17"/>
  <c r="C86" i="17"/>
  <c r="C87" i="17"/>
  <c r="C88" i="17"/>
  <c r="C89" i="17"/>
  <c r="C90" i="17"/>
  <c r="C91" i="17"/>
  <c r="C92" i="17"/>
  <c r="C93" i="17"/>
  <c r="C94" i="17"/>
  <c r="C95" i="17"/>
  <c r="C96" i="17"/>
  <c r="C97" i="17"/>
  <c r="C98" i="17"/>
  <c r="C99" i="17"/>
  <c r="C100" i="17"/>
  <c r="C101" i="17"/>
  <c r="C102" i="17"/>
  <c r="C103" i="17"/>
  <c r="C104" i="17"/>
  <c r="C105" i="17"/>
  <c r="C106" i="17"/>
  <c r="C107" i="17"/>
  <c r="C108" i="17"/>
  <c r="C109" i="17"/>
  <c r="C110" i="17"/>
  <c r="C111" i="17"/>
  <c r="C112" i="17"/>
  <c r="C113" i="17"/>
  <c r="C114" i="17"/>
  <c r="C115" i="17"/>
  <c r="C116" i="17"/>
  <c r="C154" i="17"/>
  <c r="C155" i="17"/>
  <c r="C156" i="17"/>
  <c r="C157" i="17"/>
  <c r="C158" i="17"/>
  <c r="C159" i="17"/>
  <c r="C160" i="17"/>
  <c r="C161" i="17"/>
  <c r="C162" i="17"/>
  <c r="C163" i="17"/>
  <c r="C164" i="17"/>
  <c r="C165" i="17"/>
  <c r="C166" i="17"/>
  <c r="C167" i="17"/>
  <c r="C168" i="17"/>
  <c r="C169" i="17"/>
  <c r="C170" i="17"/>
  <c r="C171" i="17"/>
  <c r="C172" i="17"/>
  <c r="C173" i="17"/>
  <c r="C174" i="17"/>
  <c r="C175" i="17"/>
  <c r="C176" i="17"/>
  <c r="C177" i="17"/>
  <c r="C178" i="17"/>
  <c r="C179" i="17"/>
  <c r="C180" i="17"/>
  <c r="C181" i="17"/>
  <c r="C182" i="17"/>
  <c r="C183" i="17"/>
  <c r="C184" i="17"/>
  <c r="C185" i="17"/>
  <c r="C186" i="17"/>
  <c r="C187" i="17"/>
  <c r="C188" i="17"/>
  <c r="C189" i="17"/>
  <c r="C190" i="17"/>
  <c r="C191" i="17"/>
  <c r="C192" i="17"/>
  <c r="C193" i="17"/>
  <c r="C194" i="17"/>
  <c r="C195" i="17"/>
  <c r="C196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C53" i="17"/>
  <c r="C54" i="17"/>
  <c r="C55" i="17"/>
  <c r="C56" i="17"/>
  <c r="C57" i="17"/>
  <c r="C58" i="17"/>
  <c r="C59" i="17"/>
  <c r="C60" i="17"/>
  <c r="C61" i="17"/>
  <c r="C62" i="17"/>
  <c r="C63" i="17"/>
  <c r="C64" i="17"/>
  <c r="C65" i="17"/>
  <c r="C66" i="17"/>
  <c r="C67" i="17"/>
  <c r="C68" i="17"/>
  <c r="C69" i="17"/>
  <c r="C70" i="17"/>
  <c r="C71" i="17"/>
  <c r="C72" i="17"/>
  <c r="C73" i="17"/>
  <c r="C118" i="17"/>
  <c r="C119" i="17"/>
  <c r="C120" i="17"/>
  <c r="C121" i="17"/>
  <c r="C122" i="17"/>
  <c r="C123" i="17"/>
  <c r="C124" i="17"/>
  <c r="C125" i="17"/>
  <c r="C126" i="17"/>
  <c r="C127" i="17"/>
  <c r="C128" i="17"/>
  <c r="C129" i="17"/>
  <c r="C130" i="17"/>
  <c r="C131" i="17"/>
  <c r="C132" i="17"/>
  <c r="C133" i="17"/>
  <c r="C134" i="17"/>
  <c r="C135" i="17"/>
  <c r="C136" i="17"/>
  <c r="C137" i="17"/>
  <c r="C138" i="17"/>
  <c r="C139" i="17"/>
  <c r="C140" i="17"/>
  <c r="C141" i="17"/>
  <c r="C142" i="17"/>
  <c r="C143" i="17"/>
  <c r="C144" i="17"/>
  <c r="C145" i="17"/>
  <c r="C146" i="17"/>
  <c r="C147" i="17"/>
  <c r="C148" i="17"/>
  <c r="C149" i="17"/>
  <c r="C150" i="17"/>
  <c r="C151" i="17"/>
  <c r="C152" i="17"/>
  <c r="C153" i="17"/>
  <c r="C117" i="17"/>
  <c r="C34" i="17" s="1"/>
  <c r="C40" i="8"/>
  <c r="C38" i="8"/>
  <c r="C36" i="8"/>
  <c r="D36" i="8" s="1"/>
  <c r="C44" i="8"/>
  <c r="C43" i="8"/>
  <c r="C42" i="8"/>
  <c r="C41" i="8"/>
  <c r="D16" i="8"/>
  <c r="C39" i="8"/>
  <c r="D39" i="8" s="1"/>
  <c r="C37" i="8"/>
  <c r="B44" i="8"/>
  <c r="D19" i="8" s="1"/>
  <c r="B43" i="8"/>
  <c r="D18" i="8" s="1"/>
  <c r="B42" i="8"/>
  <c r="D17" i="8" s="1"/>
  <c r="B41" i="8"/>
  <c r="B39" i="8"/>
  <c r="D14" i="8"/>
  <c r="B37" i="8"/>
  <c r="D12" i="8"/>
  <c r="B40" i="8"/>
  <c r="D15" i="8" s="1"/>
  <c r="B38" i="8"/>
  <c r="B36" i="8"/>
  <c r="C39" i="9"/>
  <c r="D39" i="9" s="1"/>
  <c r="C41" i="9"/>
  <c r="C43" i="9"/>
  <c r="D43" i="9" s="1"/>
  <c r="C44" i="9"/>
  <c r="C42" i="9"/>
  <c r="C40" i="9"/>
  <c r="C38" i="9"/>
  <c r="C37" i="9"/>
  <c r="C36" i="9"/>
  <c r="B44" i="9"/>
  <c r="B43" i="9"/>
  <c r="D18" i="9" s="1"/>
  <c r="B42" i="9"/>
  <c r="B41" i="9"/>
  <c r="B40" i="9"/>
  <c r="B39" i="9"/>
  <c r="B38" i="9"/>
  <c r="D38" i="9" s="1"/>
  <c r="B37" i="9"/>
  <c r="B36" i="9"/>
  <c r="D11" i="9" s="1"/>
  <c r="D36" i="9"/>
  <c r="C52" i="12"/>
  <c r="C51" i="12"/>
  <c r="C48" i="12"/>
  <c r="C47" i="12"/>
  <c r="C46" i="12"/>
  <c r="C44" i="12"/>
  <c r="C43" i="12"/>
  <c r="C41" i="12"/>
  <c r="C42" i="12"/>
  <c r="C40" i="12"/>
  <c r="B42" i="12"/>
  <c r="B40" i="12"/>
  <c r="B52" i="12"/>
  <c r="B51" i="12"/>
  <c r="B48" i="12"/>
  <c r="B47" i="12"/>
  <c r="B46" i="12"/>
  <c r="D17" i="12" s="1"/>
  <c r="B44" i="12"/>
  <c r="B43" i="12"/>
  <c r="B41" i="12"/>
  <c r="D40" i="9"/>
  <c r="D11" i="8"/>
  <c r="D43" i="8"/>
  <c r="D40" i="8" l="1"/>
  <c r="D37" i="9"/>
  <c r="D41" i="8"/>
  <c r="D18" i="12"/>
  <c r="D11" i="12"/>
  <c r="D13" i="8"/>
  <c r="D25" i="12"/>
  <c r="D37" i="8"/>
  <c r="D42" i="8"/>
  <c r="D44" i="8"/>
  <c r="D14" i="9"/>
  <c r="D14" i="12"/>
  <c r="D13" i="12"/>
  <c r="D15" i="9"/>
  <c r="D12" i="12"/>
  <c r="D15" i="12"/>
  <c r="D16" i="9"/>
  <c r="D17" i="9"/>
  <c r="D38" i="8"/>
  <c r="D44" i="9"/>
  <c r="D12" i="9"/>
  <c r="G7" i="18"/>
  <c r="I8" i="18" s="1"/>
  <c r="D14" i="18" s="1"/>
  <c r="D10" i="17"/>
  <c r="D19" i="9"/>
  <c r="D41" i="9"/>
  <c r="D42" i="9"/>
  <c r="D13" i="9"/>
  <c r="D44" i="12"/>
  <c r="D52" i="12"/>
  <c r="D23" i="12" s="1"/>
  <c r="D54" i="12"/>
  <c r="D51" i="12"/>
  <c r="D22" i="12" s="1"/>
  <c r="D48" i="12"/>
  <c r="D19" i="12" s="1"/>
  <c r="D40" i="12"/>
  <c r="D47" i="12"/>
  <c r="D43" i="12"/>
  <c r="D42" i="12"/>
  <c r="D46" i="12"/>
  <c r="D41" i="12"/>
  <c r="D53" i="12"/>
  <c r="D24" i="12" s="1"/>
  <c r="D36" i="23"/>
  <c r="D11" i="23" s="1"/>
  <c r="D42" i="23"/>
  <c r="D17" i="23" s="1"/>
  <c r="D44" i="23"/>
  <c r="D19" i="23" s="1"/>
</calcChain>
</file>

<file path=xl/sharedStrings.xml><?xml version="1.0" encoding="utf-8"?>
<sst xmlns="http://schemas.openxmlformats.org/spreadsheetml/2006/main" count="774" uniqueCount="460">
  <si>
    <t>Dimension</t>
  </si>
  <si>
    <t>Input</t>
  </si>
  <si>
    <t>Flow (l/h)</t>
  </si>
  <si>
    <t>Range</t>
  </si>
  <si>
    <t>Range ∆Pp (kPa)</t>
  </si>
  <si>
    <t>Pre-set</t>
  </si>
  <si>
    <t xml:space="preserve">Range ∆Pp is defined from Min. Pump pressure (Min. ∆Pp) to Max. Pump pressure (Max.∆Pp) .   </t>
  </si>
  <si>
    <t>DN15 LP</t>
  </si>
  <si>
    <t>25-804</t>
  </si>
  <si>
    <t>8-250</t>
  </si>
  <si>
    <t>DN15 HP</t>
  </si>
  <si>
    <t>40-1100</t>
  </si>
  <si>
    <t>16-400</t>
  </si>
  <si>
    <t>DN20 LP</t>
  </si>
  <si>
    <t>41-1265</t>
  </si>
  <si>
    <t>9-250</t>
  </si>
  <si>
    <t>DN20 HP</t>
  </si>
  <si>
    <t>66-1850</t>
  </si>
  <si>
    <t>12-400</t>
  </si>
  <si>
    <t>DN25 LP</t>
  </si>
  <si>
    <t>61-1663</t>
  </si>
  <si>
    <t>DN25 HP</t>
  </si>
  <si>
    <t>89-2350</t>
  </si>
  <si>
    <t xml:space="preserve">DN32 </t>
  </si>
  <si>
    <t>217-4800</t>
  </si>
  <si>
    <t>14-400</t>
  </si>
  <si>
    <t xml:space="preserve">DN40 </t>
  </si>
  <si>
    <t>175-7450</t>
  </si>
  <si>
    <t>15-400</t>
  </si>
  <si>
    <t xml:space="preserve">DN50 </t>
  </si>
  <si>
    <t>440-10350</t>
  </si>
  <si>
    <t>17-400</t>
  </si>
  <si>
    <t>Range ∆Pp(kPa)</t>
  </si>
  <si>
    <t>DN15 LF</t>
  </si>
  <si>
    <t>78-625</t>
  </si>
  <si>
    <t>DN15 HF</t>
  </si>
  <si>
    <t>244-1724</t>
  </si>
  <si>
    <t>DN20 LF</t>
  </si>
  <si>
    <t>131-1050</t>
  </si>
  <si>
    <t>DN20 HF</t>
  </si>
  <si>
    <t>292-2039</t>
  </si>
  <si>
    <t>13-400</t>
  </si>
  <si>
    <t>DN25 LF</t>
  </si>
  <si>
    <t>231-1722</t>
  </si>
  <si>
    <t>DN25 HF</t>
  </si>
  <si>
    <t>465-3056</t>
  </si>
  <si>
    <t>2022-7105</t>
  </si>
  <si>
    <t>2204-8586</t>
  </si>
  <si>
    <t>19-400</t>
  </si>
  <si>
    <t>DN10 Low 2,5</t>
  </si>
  <si>
    <t>DN10 Low 5,0</t>
  </si>
  <si>
    <t>DN15 Low 2,5</t>
  </si>
  <si>
    <t>DN15 Low 5,0</t>
  </si>
  <si>
    <t>DN15 High 2,5</t>
  </si>
  <si>
    <t>DN20 High 2,5</t>
  </si>
  <si>
    <t>DN20 High 4,0</t>
  </si>
  <si>
    <t>DN20 High 5,0</t>
  </si>
  <si>
    <t xml:space="preserve">Range ∆Pp is defined from Min. Pump pressure (Min. ∆Pp) to Max. Pump pressure (Max.∆Pp) .    </t>
  </si>
  <si>
    <t>DP</t>
  </si>
  <si>
    <t>Ventil</t>
  </si>
  <si>
    <t>30-200</t>
  </si>
  <si>
    <t>65-370</t>
  </si>
  <si>
    <t>100-575</t>
  </si>
  <si>
    <t>160-990</t>
  </si>
  <si>
    <t>220-1330</t>
  </si>
  <si>
    <t>DN50 Low Flow</t>
  </si>
  <si>
    <t>DN50 High Flow</t>
  </si>
  <si>
    <t>DN65 Low Flow</t>
  </si>
  <si>
    <t>DN65 High Flow</t>
  </si>
  <si>
    <t>DN80 Low Flow</t>
  </si>
  <si>
    <t>DN80 High Flow</t>
  </si>
  <si>
    <t>4,38-25,00</t>
  </si>
  <si>
    <t>5,95-35,00</t>
  </si>
  <si>
    <t>5,34-34,00</t>
  </si>
  <si>
    <t>7,02-43,00</t>
  </si>
  <si>
    <t>Flow (m3/h)</t>
  </si>
  <si>
    <t>3,92-24,00</t>
  </si>
  <si>
    <t>2,48-15,00</t>
  </si>
  <si>
    <t>DN25 5,5</t>
  </si>
  <si>
    <t>DN32 5,5</t>
  </si>
  <si>
    <t>600-3609</t>
  </si>
  <si>
    <t>550-4001</t>
  </si>
  <si>
    <t>QUICK - CONTROL Frese OPTIMA Compact</t>
  </si>
  <si>
    <t>Flow calculation program Frese OPTIMA Compact Pressure Independent Control Valve</t>
  </si>
  <si>
    <t>Pre-set =</t>
  </si>
  <si>
    <t>Min DP</t>
  </si>
  <si>
    <t>Nom. flow</t>
  </si>
  <si>
    <t>KV</t>
  </si>
  <si>
    <t>QUICK - CONTROL Frese OPTIMA</t>
  </si>
  <si>
    <t>Flow calculation program Frese OPTIMA Pressure Independent Control Valve</t>
  </si>
  <si>
    <t>QUICK - CONTROL Frese S</t>
  </si>
  <si>
    <t>Flow calculation program Frese S Dynamic Balancing Valve</t>
  </si>
  <si>
    <t>49-44262</t>
  </si>
  <si>
    <t>50-44262</t>
  </si>
  <si>
    <t>49-44250</t>
  </si>
  <si>
    <t>50-44250</t>
  </si>
  <si>
    <t>49-44248</t>
  </si>
  <si>
    <t>50-44248</t>
  </si>
  <si>
    <t>49-44241</t>
  </si>
  <si>
    <t>50-44241</t>
  </si>
  <si>
    <t>49-44235</t>
  </si>
  <si>
    <t>50-44235</t>
  </si>
  <si>
    <t>49-44229</t>
  </si>
  <si>
    <t>50-44229</t>
  </si>
  <si>
    <t>49-44222</t>
  </si>
  <si>
    <t>50-44222</t>
  </si>
  <si>
    <t>49-21090</t>
  </si>
  <si>
    <t>50-21090</t>
  </si>
  <si>
    <t>49-44217</t>
  </si>
  <si>
    <t>50-44217</t>
  </si>
  <si>
    <t>49-21060</t>
  </si>
  <si>
    <t>50-21060</t>
  </si>
  <si>
    <t>49-44211</t>
  </si>
  <si>
    <t>50-44211</t>
  </si>
  <si>
    <t>49-21030</t>
  </si>
  <si>
    <t>50-21030</t>
  </si>
  <si>
    <t>49-44205</t>
  </si>
  <si>
    <t>50-44205</t>
  </si>
  <si>
    <t>49-20990</t>
  </si>
  <si>
    <t>50-20990</t>
  </si>
  <si>
    <t>49-44200</t>
  </si>
  <si>
    <t>50-44200</t>
  </si>
  <si>
    <t>49-20940</t>
  </si>
  <si>
    <t>50-20940</t>
  </si>
  <si>
    <t>49-44194</t>
  </si>
  <si>
    <t>50-44194</t>
  </si>
  <si>
    <t>49-20920</t>
  </si>
  <si>
    <t>50-20920</t>
  </si>
  <si>
    <t>49-44191</t>
  </si>
  <si>
    <t>50-44191</t>
  </si>
  <si>
    <t>49-20880</t>
  </si>
  <si>
    <t>50-20880</t>
  </si>
  <si>
    <t>49-44182</t>
  </si>
  <si>
    <t>50-44182</t>
  </si>
  <si>
    <t>49-20860</t>
  </si>
  <si>
    <t>50-20860</t>
  </si>
  <si>
    <t>49-44176</t>
  </si>
  <si>
    <t>50-44176</t>
  </si>
  <si>
    <t>49-20820</t>
  </si>
  <si>
    <t>50-20820</t>
  </si>
  <si>
    <t>49-44173</t>
  </si>
  <si>
    <t>50-44173</t>
  </si>
  <si>
    <t>49-20770</t>
  </si>
  <si>
    <t>50-20770</t>
  </si>
  <si>
    <t>49-44168</t>
  </si>
  <si>
    <t>50-44168</t>
  </si>
  <si>
    <t>49-20740</t>
  </si>
  <si>
    <t>50-20740</t>
  </si>
  <si>
    <t>49-44164</t>
  </si>
  <si>
    <t>50-44164</t>
  </si>
  <si>
    <t>49-20700</t>
  </si>
  <si>
    <t>50-20700</t>
  </si>
  <si>
    <t>49-44156</t>
  </si>
  <si>
    <t>50-44156</t>
  </si>
  <si>
    <t>49-11750</t>
  </si>
  <si>
    <t>50-11750</t>
  </si>
  <si>
    <t>49-44152</t>
  </si>
  <si>
    <t>50-44152</t>
  </si>
  <si>
    <t>49-11745</t>
  </si>
  <si>
    <t>50-11745</t>
  </si>
  <si>
    <t>49-44148</t>
  </si>
  <si>
    <t>50-44148</t>
  </si>
  <si>
    <t>49-11740</t>
  </si>
  <si>
    <t>50-11740</t>
  </si>
  <si>
    <t>49-33163</t>
  </si>
  <si>
    <t>50-33163</t>
  </si>
  <si>
    <t>49-11735</t>
  </si>
  <si>
    <t>50-11735</t>
  </si>
  <si>
    <t>49-33161</t>
  </si>
  <si>
    <t>50-33161</t>
  </si>
  <si>
    <t>49-11730</t>
  </si>
  <si>
    <t>50-11730</t>
  </si>
  <si>
    <t>49-33156</t>
  </si>
  <si>
    <t>50-33156</t>
  </si>
  <si>
    <t>49-11725</t>
  </si>
  <si>
    <t>50-11725</t>
  </si>
  <si>
    <t>49-33148</t>
  </si>
  <si>
    <t>50-33148</t>
  </si>
  <si>
    <t>49-11620</t>
  </si>
  <si>
    <t>50-11620</t>
  </si>
  <si>
    <t>49-33142</t>
  </si>
  <si>
    <t>50-33142</t>
  </si>
  <si>
    <t>49-11570</t>
  </si>
  <si>
    <t>50-11570</t>
  </si>
  <si>
    <t>49-33138</t>
  </si>
  <si>
    <t>50-33138</t>
  </si>
  <si>
    <t>49-11540</t>
  </si>
  <si>
    <t>50-11540</t>
  </si>
  <si>
    <t>49-33135</t>
  </si>
  <si>
    <t>50-33135</t>
  </si>
  <si>
    <t>49-11510</t>
  </si>
  <si>
    <t>50-11510</t>
  </si>
  <si>
    <t>49-33132</t>
  </si>
  <si>
    <t>50-33132</t>
  </si>
  <si>
    <t>49-11490</t>
  </si>
  <si>
    <t>50-11490</t>
  </si>
  <si>
    <t>49-33129</t>
  </si>
  <si>
    <t>50-33129</t>
  </si>
  <si>
    <t>49-11460</t>
  </si>
  <si>
    <t>50-11460</t>
  </si>
  <si>
    <t>49-33125</t>
  </si>
  <si>
    <t>50-33125</t>
  </si>
  <si>
    <t>49-11430</t>
  </si>
  <si>
    <t>50-11430</t>
  </si>
  <si>
    <t>49-33124</t>
  </si>
  <si>
    <t>50-33124</t>
  </si>
  <si>
    <t>49-11400</t>
  </si>
  <si>
    <t>50-11400</t>
  </si>
  <si>
    <t>49-33118</t>
  </si>
  <si>
    <t>50-33118</t>
  </si>
  <si>
    <t>49-11370</t>
  </si>
  <si>
    <t>50-11370</t>
  </si>
  <si>
    <t>49-33112</t>
  </si>
  <si>
    <t>50-33112</t>
  </si>
  <si>
    <t>49-11350</t>
  </si>
  <si>
    <t>50-11350</t>
  </si>
  <si>
    <t>49-33111</t>
  </si>
  <si>
    <t>50-33111</t>
  </si>
  <si>
    <t>49-11320</t>
  </si>
  <si>
    <t>50-11320</t>
  </si>
  <si>
    <t>49-33107</t>
  </si>
  <si>
    <t>50-33107</t>
  </si>
  <si>
    <t>49-11300</t>
  </si>
  <si>
    <t>50-11300</t>
  </si>
  <si>
    <t>49-33102</t>
  </si>
  <si>
    <t>50-33102</t>
  </si>
  <si>
    <t>49-11290</t>
  </si>
  <si>
    <t>50-11290</t>
  </si>
  <si>
    <t>49-33098</t>
  </si>
  <si>
    <t>50-33098</t>
  </si>
  <si>
    <t>49-11260</t>
  </si>
  <si>
    <t>50-11260</t>
  </si>
  <si>
    <t>49-33096</t>
  </si>
  <si>
    <t>50-33096</t>
  </si>
  <si>
    <t>49-11230</t>
  </si>
  <si>
    <t>50-11230</t>
  </si>
  <si>
    <t>49-33094</t>
  </si>
  <si>
    <t>50-33094</t>
  </si>
  <si>
    <t>49-11210</t>
  </si>
  <si>
    <t>50-11210</t>
  </si>
  <si>
    <t>49-33089</t>
  </si>
  <si>
    <t>50-33089</t>
  </si>
  <si>
    <t>50-11190</t>
  </si>
  <si>
    <t>49-33082</t>
  </si>
  <si>
    <t>50-33082</t>
  </si>
  <si>
    <t>50-11170</t>
  </si>
  <si>
    <t>49-33073</t>
  </si>
  <si>
    <t>50-33073</t>
  </si>
  <si>
    <t>50-11150</t>
  </si>
  <si>
    <t>674-11355</t>
  </si>
  <si>
    <t>25L</t>
  </si>
  <si>
    <t>25-2448</t>
  </si>
  <si>
    <t>kPa</t>
  </si>
  <si>
    <t>DN</t>
  </si>
  <si>
    <t>l/h</t>
  </si>
  <si>
    <t>range</t>
  </si>
  <si>
    <t>Flow</t>
  </si>
  <si>
    <t>Valve</t>
  </si>
  <si>
    <t>ALPHA Valve</t>
  </si>
  <si>
    <t>Item no.</t>
  </si>
  <si>
    <t>Qty</t>
  </si>
  <si>
    <t>m³/h</t>
  </si>
  <si>
    <t>Cartridges</t>
  </si>
  <si>
    <t>Dim.</t>
  </si>
  <si>
    <t>3,8 - 45,0</t>
  </si>
  <si>
    <t>3,8 - 90,0</t>
  </si>
  <si>
    <t>3,8 - 135,0</t>
  </si>
  <si>
    <t>3,8 - 180,0</t>
  </si>
  <si>
    <t>3,8 - 315,0</t>
  </si>
  <si>
    <t>3,8 - 540,0</t>
  </si>
  <si>
    <t>3,8 - 675,0</t>
  </si>
  <si>
    <t>3,8 - 855,0</t>
  </si>
  <si>
    <t>3,8 - 1.170,0</t>
  </si>
  <si>
    <t>3,8 - 1.485,0</t>
  </si>
  <si>
    <t>3,8 - 1.800,0</t>
  </si>
  <si>
    <t>3,8 - 2.520,0</t>
  </si>
  <si>
    <t>3,8 - 3.825,0</t>
  </si>
  <si>
    <t>52-55179</t>
  </si>
  <si>
    <t>52-55184</t>
  </si>
  <si>
    <t>52-55189</t>
  </si>
  <si>
    <t>52-55194</t>
  </si>
  <si>
    <t>52-55200</t>
  </si>
  <si>
    <t>52-55206</t>
  </si>
  <si>
    <t>52-55213</t>
  </si>
  <si>
    <t>52-55220</t>
  </si>
  <si>
    <t>52-55227</t>
  </si>
  <si>
    <t>52-55235</t>
  </si>
  <si>
    <t>52-55243</t>
  </si>
  <si>
    <t>52-55251</t>
  </si>
  <si>
    <t>52-55260</t>
  </si>
  <si>
    <t>52-55269</t>
  </si>
  <si>
    <t>52-55279</t>
  </si>
  <si>
    <t>52-55287</t>
  </si>
  <si>
    <t>52-55292</t>
  </si>
  <si>
    <t>52-55298</t>
  </si>
  <si>
    <t>52-55303</t>
  </si>
  <si>
    <t>52-55308</t>
  </si>
  <si>
    <t>52-66285</t>
  </si>
  <si>
    <t>52-66292</t>
  </si>
  <si>
    <t>52-66301</t>
  </si>
  <si>
    <t>52-66305</t>
  </si>
  <si>
    <t>52-66312</t>
  </si>
  <si>
    <t>52-66319</t>
  </si>
  <si>
    <t>52-66326</t>
  </si>
  <si>
    <t>52-66332</t>
  </si>
  <si>
    <t>52-66338</t>
  </si>
  <si>
    <t>52-66344</t>
  </si>
  <si>
    <t>52-66349</t>
  </si>
  <si>
    <t>52-66356</t>
  </si>
  <si>
    <t>52-66362</t>
  </si>
  <si>
    <t>52-66367</t>
  </si>
  <si>
    <t>52-66373</t>
  </si>
  <si>
    <t>52-66379</t>
  </si>
  <si>
    <t>52-66385</t>
  </si>
  <si>
    <t>52-66391</t>
  </si>
  <si>
    <t>52-66393</t>
  </si>
  <si>
    <t>52-66398</t>
  </si>
  <si>
    <t>52-66400</t>
  </si>
  <si>
    <t>52-66407</t>
  </si>
  <si>
    <t>52-66407H</t>
  </si>
  <si>
    <t>Quick - CONTROL Frese ALPHA</t>
  </si>
  <si>
    <t>Flow calculation program Frese ALPHA Dynamic Balancing Valve</t>
  </si>
  <si>
    <t>KV opslag</t>
  </si>
  <si>
    <t>Flow opslag</t>
  </si>
  <si>
    <t>(m3/h)</t>
  </si>
  <si>
    <t>Max DP</t>
  </si>
  <si>
    <t>Min DP opslag</t>
  </si>
  <si>
    <t>Max DP opslag</t>
  </si>
  <si>
    <t>Cartridge item no. =</t>
  </si>
  <si>
    <t>Cartridge 1</t>
  </si>
  <si>
    <t>Cartridge 2</t>
  </si>
  <si>
    <t>Qty of cartridges</t>
  </si>
  <si>
    <t>Flow per cartridge</t>
  </si>
  <si>
    <t>QUICK - CONTROL Frese ALPHA Flange</t>
  </si>
  <si>
    <t>Flow calculation program Frese ALPHA Wafer Dynamic Balancing Valve</t>
  </si>
  <si>
    <t xml:space="preserve">Input    </t>
  </si>
  <si>
    <t xml:space="preserve">Input     </t>
  </si>
  <si>
    <t>DP  measured =</t>
  </si>
  <si>
    <t>Verification</t>
  </si>
  <si>
    <t>DP measured =</t>
  </si>
  <si>
    <t xml:space="preserve">DP measured = </t>
  </si>
  <si>
    <t>Verification flow</t>
  </si>
  <si>
    <t>m3/h</t>
  </si>
  <si>
    <t xml:space="preserve">Verification flow </t>
  </si>
  <si>
    <t>Total flow</t>
  </si>
  <si>
    <t>Range ∆Pp: 13 - 600 kPa</t>
  </si>
  <si>
    <t>DN15-25</t>
  </si>
  <si>
    <t>DN25L-50</t>
  </si>
  <si>
    <t>LP Low Press.</t>
  </si>
  <si>
    <t xml:space="preserve">7-350 </t>
  </si>
  <si>
    <t>12-350</t>
  </si>
  <si>
    <t>HP High Press.</t>
  </si>
  <si>
    <t xml:space="preserve">7-600 </t>
  </si>
  <si>
    <t>12-600</t>
  </si>
  <si>
    <t xml:space="preserve">Range ∆Pp is defined from Min. Pump pressure (Min. ∆Pp) to Max. Pump pressure (Max.∆Pp) .  </t>
  </si>
  <si>
    <t>Range  ∆Pp</t>
  </si>
  <si>
    <t>DN25</t>
  </si>
  <si>
    <t>DN32</t>
  </si>
  <si>
    <t>DN40</t>
  </si>
  <si>
    <t>DN50</t>
  </si>
  <si>
    <t>1370-9500</t>
  </si>
  <si>
    <t>10-400</t>
  </si>
  <si>
    <t>1400-11500</t>
  </si>
  <si>
    <t>DN100 Low Flow</t>
  </si>
  <si>
    <t>DN100 High Flow</t>
  </si>
  <si>
    <t>12,10-68,00</t>
  </si>
  <si>
    <t>14,80-90,00</t>
  </si>
  <si>
    <t>DN15 High 5,0</t>
  </si>
  <si>
    <t>QUICK - CONTROL Frese OPTIMIZER</t>
  </si>
  <si>
    <t>Control Unit 4-Pipe Heating/Cooling systems</t>
  </si>
  <si>
    <t>% Heating Offset</t>
  </si>
  <si>
    <t>∆P  measured</t>
  </si>
  <si>
    <t>Cooling</t>
  </si>
  <si>
    <t>Flow l/h</t>
  </si>
  <si>
    <t>DP range (kPa)</t>
  </si>
  <si>
    <t>Heating</t>
  </si>
  <si>
    <t>Inside DP-range</t>
  </si>
  <si>
    <t>Outside DP-range</t>
  </si>
  <si>
    <t>QUICK - CONTROL Frese OPTIMA Compact Flanged</t>
  </si>
  <si>
    <t>Qutside DP-range</t>
  </si>
  <si>
    <t>DN125 Low Flow</t>
  </si>
  <si>
    <t>DN125 High Flow</t>
  </si>
  <si>
    <t>18,5-110,0</t>
  </si>
  <si>
    <t>23,0-135,0</t>
  </si>
  <si>
    <t>Måleblænde</t>
  </si>
  <si>
    <t>Verifikation</t>
  </si>
  <si>
    <t>Kvs</t>
  </si>
  <si>
    <t>DN15 Ultta Low Flow</t>
  </si>
  <si>
    <t>DN15 Low Flow</t>
  </si>
  <si>
    <t>DN15</t>
  </si>
  <si>
    <t>DN20</t>
  </si>
  <si>
    <t>DP (kPa)</t>
  </si>
  <si>
    <t>Flow calculation program FODRV Static Balancing Valve</t>
  </si>
  <si>
    <t>DP calculation program FODRV Static Balancing Valve</t>
  </si>
  <si>
    <t>Measured DP=</t>
  </si>
  <si>
    <t>Fixed orifice</t>
  </si>
  <si>
    <t>Desired flow=</t>
  </si>
  <si>
    <t>DN65</t>
  </si>
  <si>
    <t>DN80</t>
  </si>
  <si>
    <t>DN100</t>
  </si>
  <si>
    <t>DN125</t>
  </si>
  <si>
    <t>DN150</t>
  </si>
  <si>
    <t>DN200</t>
  </si>
  <si>
    <t>DN250</t>
  </si>
  <si>
    <t xml:space="preserve">DN300 </t>
  </si>
  <si>
    <t>QUICK - CONTROL FODRV DN65-300</t>
  </si>
  <si>
    <t>DN150 Low Flow</t>
  </si>
  <si>
    <t>DN150 High Flow</t>
  </si>
  <si>
    <t>25,6-148,0</t>
  </si>
  <si>
    <t>32,0-195,0</t>
  </si>
  <si>
    <t>QUICK - CONTROL Frese SIGMA Compact</t>
  </si>
  <si>
    <t>Flow calculation program Frese SIGMA Compact Dynamic Balancing Valve</t>
  </si>
  <si>
    <t>40-900</t>
  </si>
  <si>
    <t>60-1080</t>
  </si>
  <si>
    <t>86-1550</t>
  </si>
  <si>
    <t>9-400</t>
  </si>
  <si>
    <t>102-1930</t>
  </si>
  <si>
    <t>200-5000</t>
  </si>
  <si>
    <t>719-7400</t>
  </si>
  <si>
    <t>900-10350</t>
  </si>
  <si>
    <t>DN15 Low</t>
  </si>
  <si>
    <t>DN15 High</t>
  </si>
  <si>
    <t>DN20 Low</t>
  </si>
  <si>
    <t>DN20 High</t>
  </si>
  <si>
    <t>DN20 High 5,5</t>
  </si>
  <si>
    <t>DN25 Low 5,5</t>
  </si>
  <si>
    <t>DN25L High 5,5</t>
  </si>
  <si>
    <t>300-1800</t>
  </si>
  <si>
    <t>280-1800</t>
  </si>
  <si>
    <t>QUICK - CONTROL Frese STBV DN15-50</t>
  </si>
  <si>
    <t>Flow calculation program Frese STBV Static Balancing Valve</t>
  </si>
  <si>
    <t>DP calculation program Frese STBV Static Balancing Valve</t>
  </si>
  <si>
    <t>DN25 Low</t>
  </si>
  <si>
    <t>DN25 High</t>
  </si>
  <si>
    <t>38-900</t>
  </si>
  <si>
    <t>137-2400</t>
  </si>
  <si>
    <t>21-800</t>
  </si>
  <si>
    <t>33-800</t>
  </si>
  <si>
    <t>DN200 Low Flow</t>
  </si>
  <si>
    <t>95,0-210,0</t>
  </si>
  <si>
    <t>DN200 High Flow</t>
  </si>
  <si>
    <t>130,0-280,0</t>
  </si>
  <si>
    <t>7-800</t>
  </si>
  <si>
    <t>19-800</t>
  </si>
  <si>
    <t>15-800</t>
  </si>
  <si>
    <t>30-800</t>
  </si>
  <si>
    <t>16-800</t>
  </si>
  <si>
    <t>23-800</t>
  </si>
  <si>
    <t>20-800</t>
  </si>
  <si>
    <t>27-800</t>
  </si>
  <si>
    <t>11-800</t>
  </si>
  <si>
    <t>31-800</t>
  </si>
  <si>
    <t>14-800</t>
  </si>
  <si>
    <t>18-800</t>
  </si>
  <si>
    <t>17-800</t>
  </si>
  <si>
    <t>10-800</t>
  </si>
  <si>
    <t>DN250/300 Low Flow</t>
  </si>
  <si>
    <t>DN250/300 High Flow</t>
  </si>
  <si>
    <t>190,0-475,0</t>
  </si>
  <si>
    <t>245,0-600,0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</si>
</sst>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0.0%"/>
    <numFmt numFmtId="166" formatCode="#,##0.0"/>
    <numFmt numFmtId="167" formatCode="0.000"/>
  </numFmts>
  <fonts count="31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2"/>
      <name val="Arial"/>
      <family val="2"/>
    </font>
    <font>
      <b/>
      <sz val="10"/>
      <color indexed="10"/>
      <name val="Arial"/>
      <family val="2"/>
    </font>
    <font>
      <b/>
      <sz val="14"/>
      <color indexed="10"/>
      <name val="Arial"/>
      <family val="2"/>
    </font>
    <font>
      <b/>
      <sz val="11"/>
      <name val="Arial"/>
      <family val="2"/>
    </font>
    <font>
      <sz val="10"/>
      <color indexed="10"/>
      <name val="Arial"/>
      <family val="2"/>
    </font>
    <font>
      <sz val="11"/>
      <name val="Arial"/>
      <family val="2"/>
    </font>
    <font>
      <sz val="10"/>
      <color rgb="FF000000"/>
      <name val="Arial"/>
      <family val="2"/>
    </font>
    <font>
      <b/>
      <sz val="8"/>
      <name val="Arial"/>
      <family val="2"/>
    </font>
    <font>
      <sz val="10"/>
      <name val="Calibri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</fills>
  <borders count="78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</borders>
  <cellStyleXfs count="44">
    <xf numFmtId="0" fontId="0" fillId="0" borderId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5" borderId="0" applyNumberFormat="0" applyBorder="0" applyAlignment="0" applyProtection="0"/>
    <xf numFmtId="0" fontId="21" fillId="8" borderId="0" applyNumberFormat="0" applyBorder="0" applyAlignment="0" applyProtection="0"/>
    <xf numFmtId="0" fontId="21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9" borderId="0" applyNumberFormat="0" applyBorder="0" applyAlignment="0" applyProtection="0"/>
    <xf numFmtId="0" fontId="12" fillId="20" borderId="1" applyNumberFormat="0" applyAlignment="0" applyProtection="0"/>
    <xf numFmtId="0" fontId="13" fillId="20" borderId="3" applyNumberFormat="0" applyAlignment="0" applyProtection="0"/>
    <xf numFmtId="0" fontId="11" fillId="7" borderId="3" applyNumberFormat="0" applyAlignment="0" applyProtection="0"/>
    <xf numFmtId="0" fontId="19" fillId="0" borderId="4" applyNumberFormat="0" applyFill="0" applyAlignment="0" applyProtection="0"/>
    <xf numFmtId="0" fontId="1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4" fillId="21" borderId="2" applyNumberFormat="0" applyFont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3" borderId="0" applyNumberFormat="0" applyBorder="0" applyAlignment="0" applyProtection="0"/>
    <xf numFmtId="0" fontId="14" fillId="0" borderId="9" applyNumberFormat="0" applyFill="0" applyAlignment="0" applyProtection="0"/>
    <xf numFmtId="0" fontId="1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6" applyNumberFormat="0" applyFill="0" applyAlignment="0" applyProtection="0"/>
    <xf numFmtId="0" fontId="7" fillId="0" borderId="7" applyNumberFormat="0" applyFill="0" applyAlignment="0" applyProtection="0"/>
    <xf numFmtId="0" fontId="8" fillId="0" borderId="8" applyNumberFormat="0" applyFill="0" applyAlignment="0" applyProtection="0"/>
    <xf numFmtId="0" fontId="8" fillId="0" borderId="0" applyNumberFormat="0" applyFill="0" applyBorder="0" applyAlignment="0" applyProtection="0"/>
    <xf numFmtId="0" fontId="15" fillId="22" borderId="5" applyNumberFormat="0" applyAlignment="0" applyProtection="0"/>
    <xf numFmtId="0" fontId="1" fillId="0" borderId="0"/>
  </cellStyleXfs>
  <cellXfs count="316">
    <xf numFmtId="0" fontId="0" fillId="0" borderId="0" xfId="0"/>
    <xf numFmtId="0" fontId="0" fillId="23" borderId="0" xfId="0" applyFill="1"/>
    <xf numFmtId="0" fontId="0" fillId="0" borderId="0" xfId="0" applyBorder="1"/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12" xfId="0" applyFont="1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2" fillId="0" borderId="0" xfId="0" applyFont="1" applyBorder="1"/>
    <xf numFmtId="0" fontId="2" fillId="23" borderId="0" xfId="0" applyFont="1" applyFill="1" applyBorder="1"/>
    <xf numFmtId="164" fontId="0" fillId="23" borderId="0" xfId="0" applyNumberFormat="1" applyFill="1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2" fillId="0" borderId="0" xfId="0" applyFont="1" applyBorder="1" applyAlignment="1"/>
    <xf numFmtId="0" fontId="0" fillId="24" borderId="20" xfId="0" applyFill="1" applyBorder="1" applyAlignment="1">
      <alignment horizontal="center"/>
    </xf>
    <xf numFmtId="0" fontId="0" fillId="0" borderId="20" xfId="0" applyFill="1" applyBorder="1" applyAlignment="1">
      <alignment horizontal="center"/>
    </xf>
    <xf numFmtId="0" fontId="0" fillId="24" borderId="21" xfId="0" applyFill="1" applyBorder="1" applyAlignment="1">
      <alignment horizontal="center"/>
    </xf>
    <xf numFmtId="0" fontId="2" fillId="0" borderId="13" xfId="0" applyFont="1" applyBorder="1"/>
    <xf numFmtId="0" fontId="4" fillId="24" borderId="22" xfId="0" applyFont="1" applyFill="1" applyBorder="1" applyAlignment="1">
      <alignment horizontal="left" vertical="center"/>
    </xf>
    <xf numFmtId="0" fontId="4" fillId="0" borderId="22" xfId="0" applyFont="1" applyBorder="1" applyAlignment="1">
      <alignment horizontal="left" vertical="center"/>
    </xf>
    <xf numFmtId="0" fontId="4" fillId="24" borderId="23" xfId="0" applyFont="1" applyFill="1" applyBorder="1" applyAlignment="1">
      <alignment horizontal="left" vertical="center"/>
    </xf>
    <xf numFmtId="0" fontId="4" fillId="24" borderId="24" xfId="0" applyFont="1" applyFill="1" applyBorder="1" applyAlignment="1">
      <alignment horizontal="left" vertical="center"/>
    </xf>
    <xf numFmtId="0" fontId="0" fillId="24" borderId="25" xfId="0" applyFill="1" applyBorder="1" applyAlignment="1">
      <alignment horizontal="center"/>
    </xf>
    <xf numFmtId="0" fontId="3" fillId="25" borderId="17" xfId="0" applyFont="1" applyFill="1" applyBorder="1" applyAlignment="1"/>
    <xf numFmtId="0" fontId="3" fillId="25" borderId="18" xfId="0" applyFont="1" applyFill="1" applyBorder="1" applyAlignment="1"/>
    <xf numFmtId="0" fontId="3" fillId="25" borderId="19" xfId="0" applyFont="1" applyFill="1" applyBorder="1" applyAlignment="1"/>
    <xf numFmtId="1" fontId="2" fillId="26" borderId="26" xfId="0" applyNumberFormat="1" applyFont="1" applyFill="1" applyBorder="1" applyAlignment="1">
      <alignment horizontal="center"/>
    </xf>
    <xf numFmtId="0" fontId="4" fillId="0" borderId="0" xfId="0" applyFont="1"/>
    <xf numFmtId="49" fontId="4" fillId="0" borderId="0" xfId="0" applyNumberFormat="1" applyFont="1"/>
    <xf numFmtId="0" fontId="28" fillId="0" borderId="0" xfId="0" applyFont="1" applyAlignment="1">
      <alignment horizontal="center" vertical="center" readingOrder="1"/>
    </xf>
    <xf numFmtId="0" fontId="2" fillId="0" borderId="16" xfId="0" applyFont="1" applyBorder="1" applyAlignment="1">
      <alignment horizontal="right"/>
    </xf>
    <xf numFmtId="164" fontId="0" fillId="0" borderId="20" xfId="0" applyNumberFormat="1" applyBorder="1" applyAlignment="1">
      <alignment horizontal="center"/>
    </xf>
    <xf numFmtId="0" fontId="4" fillId="0" borderId="27" xfId="0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7" xfId="0" applyBorder="1"/>
    <xf numFmtId="0" fontId="0" fillId="0" borderId="29" xfId="0" applyBorder="1" applyAlignment="1">
      <alignment horizontal="center"/>
    </xf>
    <xf numFmtId="0" fontId="4" fillId="0" borderId="29" xfId="0" applyFont="1" applyBorder="1" applyAlignment="1">
      <alignment horizontal="center"/>
    </xf>
    <xf numFmtId="1" fontId="0" fillId="0" borderId="20" xfId="0" applyNumberFormat="1" applyBorder="1" applyAlignment="1">
      <alignment horizontal="center"/>
    </xf>
    <xf numFmtId="1" fontId="0" fillId="0" borderId="21" xfId="0" applyNumberFormat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164" fontId="0" fillId="0" borderId="11" xfId="0" applyNumberFormat="1" applyBorder="1" applyAlignment="1">
      <alignment horizontal="center"/>
    </xf>
    <xf numFmtId="1" fontId="2" fillId="26" borderId="30" xfId="0" applyNumberFormat="1" applyFont="1" applyFill="1" applyBorder="1" applyAlignment="1">
      <alignment horizontal="center"/>
    </xf>
    <xf numFmtId="0" fontId="0" fillId="0" borderId="31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21" xfId="0" applyFill="1" applyBorder="1" applyAlignment="1">
      <alignment horizontal="center"/>
    </xf>
    <xf numFmtId="0" fontId="0" fillId="0" borderId="31" xfId="0" applyFont="1" applyFill="1" applyBorder="1" applyAlignment="1">
      <alignment horizontal="center"/>
    </xf>
    <xf numFmtId="0" fontId="0" fillId="0" borderId="32" xfId="0" applyFont="1" applyFill="1" applyBorder="1" applyAlignment="1">
      <alignment horizontal="center"/>
    </xf>
    <xf numFmtId="0" fontId="2" fillId="0" borderId="29" xfId="0" applyFont="1" applyBorder="1" applyAlignment="1">
      <alignment horizontal="center"/>
    </xf>
    <xf numFmtId="0" fontId="3" fillId="25" borderId="13" xfId="0" applyFont="1" applyFill="1" applyBorder="1" applyAlignment="1">
      <alignment horizontal="center"/>
    </xf>
    <xf numFmtId="1" fontId="2" fillId="26" borderId="10" xfId="0" applyNumberFormat="1" applyFont="1" applyFill="1" applyBorder="1" applyAlignment="1">
      <alignment horizontal="center"/>
    </xf>
    <xf numFmtId="1" fontId="2" fillId="26" borderId="11" xfId="0" applyNumberFormat="1" applyFont="1" applyFill="1" applyBorder="1" applyAlignment="1">
      <alignment horizontal="center"/>
    </xf>
    <xf numFmtId="0" fontId="23" fillId="0" borderId="0" xfId="0" applyFont="1" applyBorder="1"/>
    <xf numFmtId="0" fontId="23" fillId="0" borderId="0" xfId="0" applyFont="1" applyBorder="1" applyAlignment="1">
      <alignment horizontal="center"/>
    </xf>
    <xf numFmtId="0" fontId="0" fillId="0" borderId="0" xfId="0" applyFill="1" applyBorder="1"/>
    <xf numFmtId="3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0" fillId="0" borderId="20" xfId="0" applyBorder="1"/>
    <xf numFmtId="0" fontId="4" fillId="0" borderId="20" xfId="0" applyFont="1" applyBorder="1" applyAlignment="1">
      <alignment horizontal="center"/>
    </xf>
    <xf numFmtId="0" fontId="2" fillId="0" borderId="33" xfId="0" applyFont="1" applyBorder="1"/>
    <xf numFmtId="0" fontId="4" fillId="0" borderId="20" xfId="0" quotePrefix="1" applyFont="1" applyBorder="1" applyAlignment="1">
      <alignment horizontal="center"/>
    </xf>
    <xf numFmtId="0" fontId="0" fillId="0" borderId="20" xfId="0" applyBorder="1" applyAlignment="1">
      <alignment horizontal="center"/>
    </xf>
    <xf numFmtId="3" fontId="2" fillId="0" borderId="34" xfId="0" applyNumberFormat="1" applyFont="1" applyFill="1" applyBorder="1" applyAlignment="1">
      <alignment horizontal="center"/>
    </xf>
    <xf numFmtId="3" fontId="2" fillId="0" borderId="35" xfId="0" applyNumberFormat="1" applyFont="1" applyFill="1" applyBorder="1" applyAlignment="1">
      <alignment horizontal="center"/>
    </xf>
    <xf numFmtId="3" fontId="2" fillId="0" borderId="36" xfId="0" applyNumberFormat="1" applyFont="1" applyFill="1" applyBorder="1" applyAlignment="1">
      <alignment horizontal="center"/>
    </xf>
    <xf numFmtId="3" fontId="2" fillId="0" borderId="37" xfId="0" applyNumberFormat="1" applyFont="1" applyFill="1" applyBorder="1" applyAlignment="1">
      <alignment horizontal="center"/>
    </xf>
    <xf numFmtId="0" fontId="2" fillId="0" borderId="36" xfId="0" applyFont="1" applyFill="1" applyBorder="1" applyAlignment="1">
      <alignment horizontal="center"/>
    </xf>
    <xf numFmtId="0" fontId="2" fillId="0" borderId="37" xfId="0" applyFont="1" applyFill="1" applyBorder="1" applyAlignment="1">
      <alignment horizontal="center"/>
    </xf>
    <xf numFmtId="0" fontId="2" fillId="0" borderId="34" xfId="0" applyFont="1" applyFill="1" applyBorder="1" applyAlignment="1">
      <alignment horizontal="center"/>
    </xf>
    <xf numFmtId="0" fontId="2" fillId="0" borderId="35" xfId="0" applyFont="1" applyFill="1" applyBorder="1" applyAlignment="1">
      <alignment horizontal="center"/>
    </xf>
    <xf numFmtId="0" fontId="2" fillId="0" borderId="38" xfId="0" applyFont="1" applyFill="1" applyBorder="1" applyAlignment="1">
      <alignment horizontal="center"/>
    </xf>
    <xf numFmtId="3" fontId="2" fillId="0" borderId="0" xfId="0" quotePrefix="1" applyNumberFormat="1" applyFont="1" applyFill="1" applyBorder="1" applyAlignment="1">
      <alignment horizontal="center"/>
    </xf>
    <xf numFmtId="0" fontId="0" fillId="0" borderId="19" xfId="0" applyFill="1" applyBorder="1"/>
    <xf numFmtId="0" fontId="2" fillId="0" borderId="18" xfId="0" applyFont="1" applyFill="1" applyBorder="1"/>
    <xf numFmtId="0" fontId="2" fillId="0" borderId="15" xfId="0" applyFont="1" applyFill="1" applyBorder="1"/>
    <xf numFmtId="3" fontId="2" fillId="24" borderId="36" xfId="0" applyNumberFormat="1" applyFont="1" applyFill="1" applyBorder="1" applyAlignment="1">
      <alignment horizontal="center"/>
    </xf>
    <xf numFmtId="3" fontId="2" fillId="24" borderId="37" xfId="0" applyNumberFormat="1" applyFont="1" applyFill="1" applyBorder="1" applyAlignment="1">
      <alignment horizontal="center"/>
    </xf>
    <xf numFmtId="0" fontId="2" fillId="24" borderId="36" xfId="0" applyFont="1" applyFill="1" applyBorder="1" applyAlignment="1">
      <alignment horizontal="center"/>
    </xf>
    <xf numFmtId="0" fontId="2" fillId="24" borderId="39" xfId="0" applyFont="1" applyFill="1" applyBorder="1" applyAlignment="1">
      <alignment horizontal="center"/>
    </xf>
    <xf numFmtId="0" fontId="2" fillId="24" borderId="38" xfId="0" applyFont="1" applyFill="1" applyBorder="1" applyAlignment="1">
      <alignment horizontal="center"/>
    </xf>
    <xf numFmtId="3" fontId="2" fillId="0" borderId="39" xfId="0" applyNumberFormat="1" applyFont="1" applyFill="1" applyBorder="1" applyAlignment="1">
      <alignment horizontal="center"/>
    </xf>
    <xf numFmtId="0" fontId="2" fillId="0" borderId="40" xfId="0" applyFont="1" applyFill="1" applyBorder="1" applyAlignment="1">
      <alignment horizontal="center"/>
    </xf>
    <xf numFmtId="0" fontId="2" fillId="0" borderId="41" xfId="0" applyFont="1" applyFill="1" applyBorder="1" applyAlignment="1">
      <alignment horizontal="center"/>
    </xf>
    <xf numFmtId="0" fontId="2" fillId="0" borderId="15" xfId="0" applyFont="1" applyBorder="1"/>
    <xf numFmtId="0" fontId="0" fillId="0" borderId="15" xfId="0" applyFill="1" applyBorder="1"/>
    <xf numFmtId="0" fontId="2" fillId="0" borderId="0" xfId="0" applyFont="1" applyFill="1" applyBorder="1" applyAlignment="1">
      <alignment horizontal="left"/>
    </xf>
    <xf numFmtId="0" fontId="0" fillId="0" borderId="0" xfId="0" applyBorder="1" applyAlignment="1">
      <alignment horizontal="center"/>
    </xf>
    <xf numFmtId="0" fontId="24" fillId="0" borderId="16" xfId="0" applyFont="1" applyBorder="1"/>
    <xf numFmtId="0" fontId="3" fillId="0" borderId="0" xfId="0" applyFont="1" applyFill="1" applyBorder="1" applyAlignment="1">
      <alignment horizontal="left"/>
    </xf>
    <xf numFmtId="0" fontId="0" fillId="0" borderId="42" xfId="0" applyBorder="1"/>
    <xf numFmtId="0" fontId="25" fillId="0" borderId="42" xfId="0" applyFont="1" applyFill="1" applyBorder="1" applyAlignment="1">
      <alignment horizontal="right"/>
    </xf>
    <xf numFmtId="0" fontId="3" fillId="25" borderId="12" xfId="0" applyFont="1" applyFill="1" applyBorder="1" applyAlignment="1">
      <alignment horizontal="left"/>
    </xf>
    <xf numFmtId="14" fontId="22" fillId="25" borderId="13" xfId="0" applyNumberFormat="1" applyFont="1" applyFill="1" applyBorder="1" applyAlignment="1">
      <alignment horizontal="left"/>
    </xf>
    <xf numFmtId="0" fontId="3" fillId="25" borderId="14" xfId="0" applyFont="1" applyFill="1" applyBorder="1" applyAlignment="1">
      <alignment horizontal="left"/>
    </xf>
    <xf numFmtId="0" fontId="3" fillId="0" borderId="0" xfId="0" applyFont="1" applyFill="1" applyBorder="1" applyAlignment="1"/>
    <xf numFmtId="0" fontId="23" fillId="0" borderId="0" xfId="0" applyFont="1"/>
    <xf numFmtId="0" fontId="0" fillId="0" borderId="0" xfId="0" applyAlignment="1">
      <alignment horizontal="center"/>
    </xf>
    <xf numFmtId="164" fontId="2" fillId="0" borderId="0" xfId="0" applyNumberFormat="1" applyFont="1" applyFill="1" applyBorder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0" xfId="0" quotePrefix="1" applyFont="1" applyFill="1" applyBorder="1"/>
    <xf numFmtId="0" fontId="0" fillId="0" borderId="0" xfId="0" applyFill="1"/>
    <xf numFmtId="0" fontId="2" fillId="0" borderId="16" xfId="0" applyFont="1" applyBorder="1" applyAlignment="1">
      <alignment horizontal="center"/>
    </xf>
    <xf numFmtId="3" fontId="2" fillId="0" borderId="0" xfId="0" applyNumberFormat="1" applyFont="1" applyFill="1" applyBorder="1" applyAlignment="1">
      <alignment horizontal="left"/>
    </xf>
    <xf numFmtId="0" fontId="0" fillId="0" borderId="0" xfId="0" applyFill="1" applyBorder="1" applyAlignment="1">
      <alignment horizontal="center"/>
    </xf>
    <xf numFmtId="0" fontId="26" fillId="0" borderId="0" xfId="0" applyFont="1" applyBorder="1"/>
    <xf numFmtId="1" fontId="2" fillId="0" borderId="0" xfId="0" applyNumberFormat="1" applyFont="1" applyFill="1" applyBorder="1" applyAlignment="1">
      <alignment horizontal="center"/>
    </xf>
    <xf numFmtId="0" fontId="23" fillId="0" borderId="16" xfId="0" applyFont="1" applyFill="1" applyBorder="1" applyAlignment="1">
      <alignment horizontal="left"/>
    </xf>
    <xf numFmtId="164" fontId="0" fillId="0" borderId="0" xfId="0" applyNumberFormat="1" applyBorder="1"/>
    <xf numFmtId="1" fontId="0" fillId="0" borderId="0" xfId="0" applyNumberFormat="1" applyBorder="1" applyAlignment="1">
      <alignment horizontal="center"/>
    </xf>
    <xf numFmtId="165" fontId="2" fillId="0" borderId="0" xfId="0" applyNumberFormat="1" applyFont="1" applyFill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2" fillId="0" borderId="28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5" fillId="0" borderId="0" xfId="0" applyFont="1" applyBorder="1"/>
    <xf numFmtId="0" fontId="27" fillId="0" borderId="0" xfId="0" applyFont="1" applyBorder="1"/>
    <xf numFmtId="0" fontId="23" fillId="0" borderId="20" xfId="0" applyFont="1" applyFill="1" applyBorder="1" applyAlignment="1">
      <alignment horizontal="center"/>
    </xf>
    <xf numFmtId="0" fontId="2" fillId="0" borderId="10" xfId="0" applyFont="1" applyFill="1" applyBorder="1" applyAlignment="1">
      <alignment horizontal="center"/>
    </xf>
    <xf numFmtId="0" fontId="23" fillId="0" borderId="22" xfId="0" applyFont="1" applyFill="1" applyBorder="1" applyAlignment="1">
      <alignment horizontal="center"/>
    </xf>
    <xf numFmtId="0" fontId="23" fillId="0" borderId="10" xfId="0" applyFont="1" applyFill="1" applyBorder="1" applyAlignment="1">
      <alignment horizontal="center"/>
    </xf>
    <xf numFmtId="0" fontId="25" fillId="0" borderId="0" xfId="0" applyFont="1" applyBorder="1" applyAlignment="1">
      <alignment horizontal="center"/>
    </xf>
    <xf numFmtId="0" fontId="2" fillId="24" borderId="22" xfId="0" applyFont="1" applyFill="1" applyBorder="1" applyAlignment="1">
      <alignment horizontal="center"/>
    </xf>
    <xf numFmtId="164" fontId="2" fillId="24" borderId="20" xfId="0" applyNumberFormat="1" applyFont="1" applyFill="1" applyBorder="1" applyAlignment="1">
      <alignment horizontal="center"/>
    </xf>
    <xf numFmtId="0" fontId="2" fillId="24" borderId="10" xfId="0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/>
    </xf>
    <xf numFmtId="164" fontId="2" fillId="0" borderId="20" xfId="0" applyNumberFormat="1" applyFont="1" applyFill="1" applyBorder="1" applyAlignment="1">
      <alignment horizontal="center"/>
    </xf>
    <xf numFmtId="3" fontId="25" fillId="0" borderId="0" xfId="0" applyNumberFormat="1" applyFont="1" applyBorder="1" applyAlignment="1">
      <alignment horizontal="center"/>
    </xf>
    <xf numFmtId="3" fontId="25" fillId="0" borderId="0" xfId="0" applyNumberFormat="1" applyFont="1" applyBorder="1" applyAlignment="1">
      <alignment horizontal="right"/>
    </xf>
    <xf numFmtId="164" fontId="2" fillId="0" borderId="20" xfId="0" applyNumberFormat="1" applyFont="1" applyBorder="1" applyAlignment="1">
      <alignment horizontal="center"/>
    </xf>
    <xf numFmtId="166" fontId="25" fillId="0" borderId="0" xfId="0" applyNumberFormat="1" applyFont="1" applyBorder="1"/>
    <xf numFmtId="3" fontId="25" fillId="0" borderId="0" xfId="0" applyNumberFormat="1" applyFont="1" applyBorder="1"/>
    <xf numFmtId="0" fontId="25" fillId="0" borderId="0" xfId="0" applyFont="1" applyBorder="1" applyAlignment="1">
      <alignment horizontal="left"/>
    </xf>
    <xf numFmtId="0" fontId="2" fillId="24" borderId="23" xfId="0" applyFont="1" applyFill="1" applyBorder="1" applyAlignment="1">
      <alignment horizontal="center"/>
    </xf>
    <xf numFmtId="164" fontId="2" fillId="24" borderId="21" xfId="0" applyNumberFormat="1" applyFont="1" applyFill="1" applyBorder="1" applyAlignment="1">
      <alignment horizontal="center"/>
    </xf>
    <xf numFmtId="0" fontId="2" fillId="24" borderId="11" xfId="0" applyFont="1" applyFill="1" applyBorder="1" applyAlignment="1">
      <alignment horizontal="center"/>
    </xf>
    <xf numFmtId="14" fontId="22" fillId="25" borderId="14" xfId="0" applyNumberFormat="1" applyFont="1" applyFill="1" applyBorder="1" applyAlignment="1">
      <alignment horizontal="right"/>
    </xf>
    <xf numFmtId="167" fontId="0" fillId="0" borderId="20" xfId="0" applyNumberFormat="1" applyBorder="1" applyAlignment="1">
      <alignment horizontal="center"/>
    </xf>
    <xf numFmtId="167" fontId="0" fillId="0" borderId="21" xfId="0" applyNumberFormat="1" applyBorder="1" applyAlignment="1">
      <alignment horizontal="center"/>
    </xf>
    <xf numFmtId="0" fontId="0" fillId="0" borderId="22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23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2" fillId="0" borderId="0" xfId="0" applyFont="1" applyBorder="1" applyAlignment="1">
      <alignment horizontal="right"/>
    </xf>
    <xf numFmtId="0" fontId="4" fillId="0" borderId="28" xfId="0" applyFont="1" applyFill="1" applyBorder="1" applyAlignment="1">
      <alignment horizontal="center"/>
    </xf>
    <xf numFmtId="166" fontId="2" fillId="0" borderId="20" xfId="0" applyNumberFormat="1" applyFont="1" applyFill="1" applyBorder="1" applyAlignment="1">
      <alignment horizontal="right"/>
    </xf>
    <xf numFmtId="164" fontId="2" fillId="27" borderId="20" xfId="0" applyNumberFormat="1" applyFont="1" applyFill="1" applyBorder="1" applyAlignment="1" applyProtection="1">
      <alignment horizontal="center"/>
      <protection locked="0"/>
    </xf>
    <xf numFmtId="0" fontId="0" fillId="0" borderId="21" xfId="0" applyBorder="1"/>
    <xf numFmtId="166" fontId="2" fillId="0" borderId="21" xfId="0" applyNumberFormat="1" applyFont="1" applyFill="1" applyBorder="1" applyAlignment="1">
      <alignment horizontal="right"/>
    </xf>
    <xf numFmtId="164" fontId="0" fillId="0" borderId="0" xfId="0" applyNumberFormat="1" applyBorder="1" applyAlignment="1">
      <alignment horizontal="center"/>
    </xf>
    <xf numFmtId="1" fontId="0" fillId="0" borderId="20" xfId="0" applyNumberFormat="1" applyFill="1" applyBorder="1" applyAlignment="1">
      <alignment horizontal="center"/>
    </xf>
    <xf numFmtId="2" fontId="0" fillId="0" borderId="20" xfId="0" applyNumberFormat="1" applyBorder="1" applyAlignment="1">
      <alignment horizontal="center"/>
    </xf>
    <xf numFmtId="2" fontId="0" fillId="0" borderId="21" xfId="0" applyNumberFormat="1" applyFill="1" applyBorder="1" applyAlignment="1">
      <alignment horizontal="center"/>
    </xf>
    <xf numFmtId="3" fontId="2" fillId="0" borderId="22" xfId="0" applyNumberFormat="1" applyFont="1" applyFill="1" applyBorder="1" applyAlignment="1">
      <alignment horizontal="center"/>
    </xf>
    <xf numFmtId="2" fontId="2" fillId="0" borderId="20" xfId="0" applyNumberFormat="1" applyFont="1" applyFill="1" applyBorder="1" applyAlignment="1">
      <alignment horizontal="center"/>
    </xf>
    <xf numFmtId="3" fontId="2" fillId="0" borderId="10" xfId="0" applyNumberFormat="1" applyFont="1" applyFill="1" applyBorder="1" applyAlignment="1">
      <alignment horizontal="center"/>
    </xf>
    <xf numFmtId="1" fontId="2" fillId="0" borderId="20" xfId="0" applyNumberFormat="1" applyFont="1" applyFill="1" applyBorder="1" applyAlignment="1">
      <alignment horizontal="center"/>
    </xf>
    <xf numFmtId="3" fontId="2" fillId="0" borderId="23" xfId="0" applyNumberFormat="1" applyFont="1" applyFill="1" applyBorder="1" applyAlignment="1">
      <alignment horizontal="center"/>
    </xf>
    <xf numFmtId="1" fontId="2" fillId="0" borderId="21" xfId="0" applyNumberFormat="1" applyFont="1" applyFill="1" applyBorder="1" applyAlignment="1">
      <alignment horizontal="center"/>
    </xf>
    <xf numFmtId="3" fontId="2" fillId="0" borderId="11" xfId="0" applyNumberFormat="1" applyFont="1" applyFill="1" applyBorder="1" applyAlignment="1">
      <alignment horizontal="center"/>
    </xf>
    <xf numFmtId="2" fontId="2" fillId="0" borderId="21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1" fontId="2" fillId="27" borderId="10" xfId="0" applyNumberFormat="1" applyFont="1" applyFill="1" applyBorder="1" applyAlignment="1" applyProtection="1">
      <alignment horizontal="center"/>
      <protection locked="0"/>
    </xf>
    <xf numFmtId="1" fontId="2" fillId="27" borderId="11" xfId="0" applyNumberFormat="1" applyFont="1" applyFill="1" applyBorder="1" applyAlignment="1" applyProtection="1">
      <alignment horizontal="center"/>
      <protection locked="0"/>
    </xf>
    <xf numFmtId="0" fontId="2" fillId="0" borderId="22" xfId="0" applyFont="1" applyBorder="1" applyAlignment="1"/>
    <xf numFmtId="0" fontId="2" fillId="0" borderId="23" xfId="0" applyFont="1" applyBorder="1" applyAlignment="1"/>
    <xf numFmtId="0" fontId="2" fillId="0" borderId="0" xfId="0" applyFont="1" applyAlignment="1">
      <alignment horizontal="right"/>
    </xf>
    <xf numFmtId="3" fontId="2" fillId="0" borderId="27" xfId="0" applyNumberFormat="1" applyFont="1" applyFill="1" applyBorder="1" applyAlignment="1">
      <alignment horizontal="center"/>
    </xf>
    <xf numFmtId="167" fontId="2" fillId="0" borderId="29" xfId="0" applyNumberFormat="1" applyFont="1" applyFill="1" applyBorder="1" applyAlignment="1">
      <alignment horizontal="center"/>
    </xf>
    <xf numFmtId="3" fontId="2" fillId="0" borderId="28" xfId="0" applyNumberFormat="1" applyFont="1" applyFill="1" applyBorder="1" applyAlignment="1">
      <alignment horizontal="center"/>
    </xf>
    <xf numFmtId="0" fontId="2" fillId="0" borderId="0" xfId="0" applyFont="1"/>
    <xf numFmtId="49" fontId="2" fillId="27" borderId="43" xfId="0" applyNumberFormat="1" applyFont="1" applyFill="1" applyBorder="1" applyAlignment="1" applyProtection="1">
      <alignment horizontal="center"/>
      <protection locked="0"/>
    </xf>
    <xf numFmtId="49" fontId="2" fillId="27" borderId="44" xfId="0" applyNumberFormat="1" applyFont="1" applyFill="1" applyBorder="1" applyAlignment="1" applyProtection="1">
      <alignment horizontal="center"/>
      <protection locked="0"/>
    </xf>
    <xf numFmtId="0" fontId="2" fillId="26" borderId="45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right"/>
    </xf>
    <xf numFmtId="0" fontId="0" fillId="0" borderId="46" xfId="0" applyBorder="1" applyAlignment="1"/>
    <xf numFmtId="0" fontId="2" fillId="0" borderId="47" xfId="0" applyFont="1" applyBorder="1" applyAlignment="1">
      <alignment horizontal="center"/>
    </xf>
    <xf numFmtId="0" fontId="2" fillId="26" borderId="48" xfId="0" applyFont="1" applyFill="1" applyBorder="1" applyAlignment="1">
      <alignment horizontal="center"/>
    </xf>
    <xf numFmtId="0" fontId="2" fillId="26" borderId="43" xfId="0" applyFont="1" applyFill="1" applyBorder="1" applyAlignment="1">
      <alignment horizontal="center"/>
    </xf>
    <xf numFmtId="0" fontId="2" fillId="26" borderId="49" xfId="0" applyFont="1" applyFill="1" applyBorder="1" applyAlignment="1">
      <alignment horizontal="center"/>
    </xf>
    <xf numFmtId="0" fontId="2" fillId="26" borderId="11" xfId="0" applyFont="1" applyFill="1" applyBorder="1" applyAlignment="1">
      <alignment horizontal="center"/>
    </xf>
    <xf numFmtId="0" fontId="2" fillId="26" borderId="50" xfId="0" applyFont="1" applyFill="1" applyBorder="1" applyAlignment="1">
      <alignment horizontal="center"/>
    </xf>
    <xf numFmtId="0" fontId="2" fillId="0" borderId="51" xfId="0" applyFont="1" applyFill="1" applyBorder="1" applyAlignment="1">
      <alignment horizontal="right"/>
    </xf>
    <xf numFmtId="3" fontId="2" fillId="27" borderId="20" xfId="0" applyNumberFormat="1" applyFont="1" applyFill="1" applyBorder="1" applyAlignment="1" applyProtection="1">
      <alignment horizontal="center"/>
      <protection locked="0"/>
    </xf>
    <xf numFmtId="0" fontId="2" fillId="0" borderId="52" xfId="0" applyFont="1" applyFill="1" applyBorder="1" applyAlignment="1">
      <alignment horizontal="left"/>
    </xf>
    <xf numFmtId="0" fontId="2" fillId="0" borderId="25" xfId="0" applyFont="1" applyBorder="1" applyAlignment="1">
      <alignment horizontal="center"/>
    </xf>
    <xf numFmtId="0" fontId="2" fillId="0" borderId="53" xfId="0" applyFont="1" applyBorder="1" applyAlignment="1">
      <alignment horizontal="center"/>
    </xf>
    <xf numFmtId="0" fontId="2" fillId="0" borderId="37" xfId="0" applyFont="1" applyFill="1" applyBorder="1" applyAlignment="1">
      <alignment horizontal="left"/>
    </xf>
    <xf numFmtId="0" fontId="2" fillId="0" borderId="20" xfId="0" applyFont="1" applyFill="1" applyBorder="1" applyAlignment="1">
      <alignment horizontal="center"/>
    </xf>
    <xf numFmtId="0" fontId="2" fillId="0" borderId="35" xfId="0" applyFont="1" applyFill="1" applyBorder="1" applyAlignment="1">
      <alignment horizontal="left"/>
    </xf>
    <xf numFmtId="0" fontId="2" fillId="0" borderId="54" xfId="0" applyFont="1" applyFill="1" applyBorder="1" applyAlignment="1">
      <alignment horizontal="center"/>
    </xf>
    <xf numFmtId="0" fontId="4" fillId="0" borderId="18" xfId="0" applyFont="1" applyBorder="1"/>
    <xf numFmtId="0" fontId="4" fillId="0" borderId="17" xfId="0" applyFont="1" applyFill="1" applyBorder="1"/>
    <xf numFmtId="0" fontId="2" fillId="27" borderId="20" xfId="0" applyFont="1" applyFill="1" applyBorder="1" applyAlignment="1" applyProtection="1">
      <alignment horizontal="center"/>
      <protection locked="0"/>
    </xf>
    <xf numFmtId="0" fontId="2" fillId="26" borderId="55" xfId="0" applyFont="1" applyFill="1" applyBorder="1" applyAlignment="1">
      <alignment horizontal="center"/>
    </xf>
    <xf numFmtId="0" fontId="2" fillId="0" borderId="56" xfId="0" applyFont="1" applyBorder="1" applyAlignment="1">
      <alignment horizontal="center"/>
    </xf>
    <xf numFmtId="0" fontId="2" fillId="0" borderId="54" xfId="0" applyFont="1" applyBorder="1" applyAlignment="1">
      <alignment horizontal="center"/>
    </xf>
    <xf numFmtId="0" fontId="2" fillId="0" borderId="57" xfId="0" applyFont="1" applyBorder="1" applyAlignment="1">
      <alignment horizontal="center"/>
    </xf>
    <xf numFmtId="164" fontId="2" fillId="26" borderId="20" xfId="0" applyNumberFormat="1" applyFont="1" applyFill="1" applyBorder="1" applyAlignment="1">
      <alignment horizontal="center"/>
    </xf>
    <xf numFmtId="0" fontId="2" fillId="26" borderId="28" xfId="0" applyFont="1" applyFill="1" applyBorder="1" applyAlignment="1">
      <alignment horizontal="center"/>
    </xf>
    <xf numFmtId="0" fontId="0" fillId="0" borderId="29" xfId="0" applyBorder="1" applyAlignment="1">
      <alignment horizontal="center"/>
    </xf>
    <xf numFmtId="0" fontId="1" fillId="28" borderId="22" xfId="0" applyFont="1" applyFill="1" applyBorder="1" applyAlignment="1">
      <alignment horizontal="left" vertical="center"/>
    </xf>
    <xf numFmtId="0" fontId="1" fillId="0" borderId="23" xfId="0" applyFont="1" applyFill="1" applyBorder="1" applyAlignment="1">
      <alignment horizontal="left" vertical="center"/>
    </xf>
    <xf numFmtId="0" fontId="2" fillId="28" borderId="20" xfId="0" applyFont="1" applyFill="1" applyBorder="1" applyAlignment="1">
      <alignment horizontal="center"/>
    </xf>
    <xf numFmtId="0" fontId="2" fillId="0" borderId="21" xfId="0" applyFont="1" applyFill="1" applyBorder="1" applyAlignment="1">
      <alignment horizontal="center"/>
    </xf>
    <xf numFmtId="0" fontId="2" fillId="26" borderId="10" xfId="0" applyFont="1" applyFill="1" applyBorder="1" applyAlignment="1">
      <alignment horizontal="center"/>
    </xf>
    <xf numFmtId="0" fontId="1" fillId="0" borderId="22" xfId="0" applyFont="1" applyFill="1" applyBorder="1" applyAlignment="1">
      <alignment horizontal="left" vertical="center"/>
    </xf>
    <xf numFmtId="0" fontId="1" fillId="24" borderId="22" xfId="0" applyFont="1" applyFill="1" applyBorder="1" applyAlignment="1">
      <alignment horizontal="left" vertical="center"/>
    </xf>
    <xf numFmtId="0" fontId="2" fillId="24" borderId="22" xfId="0" applyFont="1" applyFill="1" applyBorder="1" applyAlignment="1">
      <alignment horizontal="left" vertical="center"/>
    </xf>
    <xf numFmtId="0" fontId="2" fillId="24" borderId="20" xfId="0" applyFont="1" applyFill="1" applyBorder="1" applyAlignment="1">
      <alignment horizontal="center"/>
    </xf>
    <xf numFmtId="0" fontId="2" fillId="0" borderId="22" xfId="0" applyFont="1" applyFill="1" applyBorder="1" applyAlignment="1">
      <alignment horizontal="left" vertical="center"/>
    </xf>
    <xf numFmtId="0" fontId="2" fillId="28" borderId="22" xfId="0" applyFont="1" applyFill="1" applyBorder="1" applyAlignment="1">
      <alignment horizontal="left" vertical="center"/>
    </xf>
    <xf numFmtId="0" fontId="2" fillId="0" borderId="23" xfId="0" applyFont="1" applyFill="1" applyBorder="1" applyAlignment="1">
      <alignment horizontal="left" vertical="center"/>
    </xf>
    <xf numFmtId="164" fontId="2" fillId="26" borderId="10" xfId="0" applyNumberFormat="1" applyFont="1" applyFill="1" applyBorder="1" applyAlignment="1">
      <alignment horizontal="center"/>
    </xf>
    <xf numFmtId="164" fontId="2" fillId="26" borderId="11" xfId="0" applyNumberFormat="1" applyFont="1" applyFill="1" applyBorder="1" applyAlignment="1">
      <alignment horizontal="center"/>
    </xf>
    <xf numFmtId="0" fontId="2" fillId="0" borderId="51" xfId="0" applyFont="1" applyBorder="1" applyAlignment="1">
      <alignment horizontal="right"/>
    </xf>
    <xf numFmtId="0" fontId="2" fillId="0" borderId="69" xfId="0" applyFont="1" applyBorder="1" applyAlignment="1">
      <alignment horizontal="center"/>
    </xf>
    <xf numFmtId="0" fontId="2" fillId="0" borderId="70" xfId="0" applyFont="1" applyBorder="1" applyAlignment="1">
      <alignment horizontal="center"/>
    </xf>
    <xf numFmtId="0" fontId="2" fillId="26" borderId="71" xfId="0" applyFont="1" applyFill="1" applyBorder="1" applyAlignment="1">
      <alignment horizontal="center"/>
    </xf>
    <xf numFmtId="0" fontId="2" fillId="26" borderId="72" xfId="0" applyFont="1" applyFill="1" applyBorder="1" applyAlignment="1">
      <alignment horizontal="center"/>
    </xf>
    <xf numFmtId="0" fontId="2" fillId="0" borderId="73" xfId="0" applyFont="1" applyBorder="1" applyAlignment="1">
      <alignment horizontal="center"/>
    </xf>
    <xf numFmtId="0" fontId="2" fillId="26" borderId="33" xfId="0" applyFont="1" applyFill="1" applyBorder="1" applyAlignment="1">
      <alignment horizontal="center"/>
    </xf>
    <xf numFmtId="0" fontId="2" fillId="26" borderId="74" xfId="0" applyFont="1" applyFill="1" applyBorder="1" applyAlignment="1">
      <alignment horizontal="center"/>
    </xf>
    <xf numFmtId="0" fontId="1" fillId="0" borderId="29" xfId="0" applyFont="1" applyBorder="1" applyAlignment="1">
      <alignment horizontal="center"/>
    </xf>
    <xf numFmtId="0" fontId="1" fillId="0" borderId="28" xfId="0" applyFont="1" applyBorder="1" applyAlignment="1">
      <alignment horizontal="center"/>
    </xf>
    <xf numFmtId="0" fontId="1" fillId="0" borderId="27" xfId="0" applyFont="1" applyBorder="1" applyAlignment="1">
      <alignment horizontal="center"/>
    </xf>
    <xf numFmtId="164" fontId="0" fillId="0" borderId="21" xfId="0" applyNumberFormat="1" applyBorder="1" applyAlignment="1">
      <alignment horizontal="center"/>
    </xf>
    <xf numFmtId="1" fontId="29" fillId="26" borderId="13" xfId="0" applyNumberFormat="1" applyFont="1" applyFill="1" applyBorder="1" applyAlignment="1">
      <alignment horizontal="center"/>
    </xf>
    <xf numFmtId="1" fontId="29" fillId="29" borderId="0" xfId="0" applyNumberFormat="1" applyFont="1" applyFill="1" applyBorder="1" applyAlignment="1">
      <alignment horizontal="center"/>
    </xf>
    <xf numFmtId="3" fontId="29" fillId="27" borderId="0" xfId="0" applyNumberFormat="1" applyFont="1" applyFill="1" applyBorder="1" applyAlignment="1" applyProtection="1">
      <alignment horizontal="center"/>
      <protection locked="0"/>
    </xf>
    <xf numFmtId="1" fontId="2" fillId="26" borderId="20" xfId="0" applyNumberFormat="1" applyFont="1" applyFill="1" applyBorder="1" applyAlignment="1">
      <alignment horizontal="center"/>
    </xf>
    <xf numFmtId="0" fontId="2" fillId="0" borderId="29" xfId="0" applyFont="1" applyBorder="1" applyAlignment="1">
      <alignment horizontal="center"/>
    </xf>
    <xf numFmtId="0" fontId="2" fillId="26" borderId="28" xfId="0" applyFont="1" applyFill="1" applyBorder="1" applyAlignment="1">
      <alignment horizontal="center"/>
    </xf>
    <xf numFmtId="0" fontId="2" fillId="0" borderId="22" xfId="0" applyFont="1" applyBorder="1" applyAlignment="1">
      <alignment horizontal="left" vertical="center"/>
    </xf>
    <xf numFmtId="0" fontId="2" fillId="0" borderId="23" xfId="0" applyFont="1" applyBorder="1" applyAlignment="1">
      <alignment horizontal="left" vertical="center"/>
    </xf>
    <xf numFmtId="0" fontId="1" fillId="0" borderId="0" xfId="0" applyFont="1"/>
    <xf numFmtId="0" fontId="4" fillId="0" borderId="27" xfId="0" applyFont="1" applyBorder="1" applyAlignment="1">
      <alignment horizontal="center"/>
    </xf>
    <xf numFmtId="0" fontId="0" fillId="0" borderId="29" xfId="0" applyBorder="1" applyAlignment="1">
      <alignment horizontal="center"/>
    </xf>
    <xf numFmtId="0" fontId="2" fillId="24" borderId="22" xfId="43" applyFont="1" applyFill="1" applyBorder="1" applyAlignment="1">
      <alignment horizontal="left" vertical="center"/>
    </xf>
    <xf numFmtId="0" fontId="2" fillId="24" borderId="20" xfId="43" applyFont="1" applyFill="1" applyBorder="1" applyAlignment="1">
      <alignment horizontal="center"/>
    </xf>
    <xf numFmtId="0" fontId="2" fillId="0" borderId="22" xfId="43" applyFont="1" applyBorder="1" applyAlignment="1">
      <alignment horizontal="left" vertical="center"/>
    </xf>
    <xf numFmtId="0" fontId="2" fillId="0" borderId="20" xfId="43" applyFont="1" applyFill="1" applyBorder="1" applyAlignment="1">
      <alignment horizontal="center"/>
    </xf>
    <xf numFmtId="0" fontId="2" fillId="0" borderId="22" xfId="43" applyFont="1" applyFill="1" applyBorder="1" applyAlignment="1">
      <alignment horizontal="left" vertical="center"/>
    </xf>
    <xf numFmtId="0" fontId="1" fillId="0" borderId="22" xfId="0" applyFont="1" applyBorder="1" applyAlignment="1">
      <alignment horizontal="left" vertical="center"/>
    </xf>
    <xf numFmtId="164" fontId="0" fillId="0" borderId="0" xfId="0" applyNumberFormat="1" applyAlignment="1">
      <alignment horizontal="center"/>
    </xf>
    <xf numFmtId="0" fontId="30" fillId="0" borderId="0" xfId="0" applyFont="1"/>
    <xf numFmtId="1" fontId="2" fillId="26" borderId="21" xfId="0" applyNumberFormat="1" applyFont="1" applyFill="1" applyBorder="1" applyAlignment="1">
      <alignment horizontal="center"/>
    </xf>
    <xf numFmtId="0" fontId="2" fillId="0" borderId="24" xfId="0" applyFont="1" applyFill="1" applyBorder="1" applyAlignment="1">
      <alignment horizontal="left" vertical="center"/>
    </xf>
    <xf numFmtId="0" fontId="2" fillId="0" borderId="25" xfId="0" applyFont="1" applyFill="1" applyBorder="1" applyAlignment="1">
      <alignment horizontal="center"/>
    </xf>
    <xf numFmtId="1" fontId="2" fillId="26" borderId="25" xfId="0" applyNumberFormat="1" applyFont="1" applyFill="1" applyBorder="1" applyAlignment="1">
      <alignment horizontal="center"/>
    </xf>
    <xf numFmtId="1" fontId="2" fillId="26" borderId="75" xfId="0" applyNumberFormat="1" applyFont="1" applyFill="1" applyBorder="1" applyAlignment="1">
      <alignment horizontal="center"/>
    </xf>
    <xf numFmtId="0" fontId="0" fillId="0" borderId="76" xfId="0" applyBorder="1" applyAlignment="1">
      <alignment horizontal="center"/>
    </xf>
    <xf numFmtId="0" fontId="0" fillId="0" borderId="77" xfId="0" applyBorder="1" applyAlignment="1">
      <alignment horizontal="center"/>
    </xf>
    <xf numFmtId="0" fontId="2" fillId="28" borderId="20" xfId="43" applyFont="1" applyFill="1" applyBorder="1" applyAlignment="1">
      <alignment horizontal="center"/>
    </xf>
    <xf numFmtId="0" fontId="2" fillId="28" borderId="22" xfId="43" applyFont="1" applyFill="1" applyBorder="1" applyAlignment="1">
      <alignment horizontal="left" vertical="center"/>
    </xf>
    <xf numFmtId="0" fontId="2" fillId="28" borderId="23" xfId="43" applyFont="1" applyFill="1" applyBorder="1" applyAlignment="1">
      <alignment horizontal="left" vertical="center"/>
    </xf>
    <xf numFmtId="0" fontId="2" fillId="28" borderId="21" xfId="43" applyFont="1" applyFill="1" applyBorder="1" applyAlignment="1">
      <alignment horizontal="center"/>
    </xf>
    <xf numFmtId="0" fontId="2" fillId="28" borderId="23" xfId="0" applyFont="1" applyFill="1" applyBorder="1" applyAlignment="1">
      <alignment horizontal="left" vertical="center"/>
    </xf>
    <xf numFmtId="0" fontId="2" fillId="28" borderId="21" xfId="0" applyFont="1" applyFill="1" applyBorder="1" applyAlignment="1">
      <alignment horizontal="center"/>
    </xf>
    <xf numFmtId="0" fontId="2" fillId="0" borderId="23" xfId="43" applyFont="1" applyFill="1" applyBorder="1" applyAlignment="1">
      <alignment horizontal="left" vertical="center"/>
    </xf>
    <xf numFmtId="0" fontId="2" fillId="0" borderId="21" xfId="43" applyFont="1" applyFill="1" applyBorder="1" applyAlignment="1">
      <alignment horizontal="center"/>
    </xf>
    <xf numFmtId="0" fontId="1" fillId="24" borderId="24" xfId="43" applyFont="1" applyFill="1" applyBorder="1" applyAlignment="1">
      <alignment horizontal="left" vertical="center"/>
    </xf>
    <xf numFmtId="1" fontId="1" fillId="0" borderId="20" xfId="43" applyNumberFormat="1" applyBorder="1" applyAlignment="1">
      <alignment horizontal="center"/>
    </xf>
    <xf numFmtId="164" fontId="1" fillId="0" borderId="20" xfId="43" applyNumberFormat="1" applyBorder="1" applyAlignment="1">
      <alignment horizontal="center"/>
    </xf>
    <xf numFmtId="164" fontId="1" fillId="0" borderId="10" xfId="43" applyNumberFormat="1" applyBorder="1" applyAlignment="1">
      <alignment horizontal="center"/>
    </xf>
    <xf numFmtId="0" fontId="1" fillId="0" borderId="22" xfId="43" applyFont="1" applyFill="1" applyBorder="1" applyAlignment="1">
      <alignment horizontal="left" vertical="center"/>
    </xf>
    <xf numFmtId="0" fontId="1" fillId="24" borderId="22" xfId="43" applyFont="1" applyFill="1" applyBorder="1" applyAlignment="1">
      <alignment horizontal="left" vertical="center"/>
    </xf>
    <xf numFmtId="0" fontId="2" fillId="26" borderId="28" xfId="0" applyFont="1" applyFill="1" applyBorder="1" applyAlignment="1">
      <alignment horizontal="center"/>
    </xf>
    <xf numFmtId="1" fontId="2" fillId="26" borderId="10" xfId="43" applyNumberFormat="1" applyFont="1" applyFill="1" applyBorder="1" applyAlignment="1">
      <alignment horizontal="center"/>
    </xf>
    <xf numFmtId="0" fontId="2" fillId="0" borderId="58" xfId="0" applyFont="1" applyBorder="1" applyAlignment="1">
      <alignment horizontal="center"/>
    </xf>
    <xf numFmtId="0" fontId="2" fillId="0" borderId="31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0" fontId="3" fillId="25" borderId="12" xfId="0" applyFont="1" applyFill="1" applyBorder="1" applyAlignment="1">
      <alignment horizontal="center"/>
    </xf>
    <xf numFmtId="0" fontId="3" fillId="25" borderId="13" xfId="0" applyFont="1" applyFill="1" applyBorder="1" applyAlignment="1">
      <alignment horizontal="center"/>
    </xf>
    <xf numFmtId="0" fontId="3" fillId="25" borderId="17" xfId="0" applyFont="1" applyFill="1" applyBorder="1" applyAlignment="1">
      <alignment horizontal="center"/>
    </xf>
    <xf numFmtId="0" fontId="3" fillId="25" borderId="18" xfId="0" applyFont="1" applyFill="1" applyBorder="1" applyAlignment="1">
      <alignment horizontal="center"/>
    </xf>
    <xf numFmtId="0" fontId="3" fillId="25" borderId="19" xfId="0" applyFont="1" applyFill="1" applyBorder="1" applyAlignment="1">
      <alignment horizontal="center"/>
    </xf>
    <xf numFmtId="0" fontId="2" fillId="0" borderId="59" xfId="0" applyFont="1" applyBorder="1" applyAlignment="1">
      <alignment horizontal="center"/>
    </xf>
    <xf numFmtId="0" fontId="2" fillId="0" borderId="60" xfId="0" applyFont="1" applyBorder="1" applyAlignment="1">
      <alignment horizontal="center"/>
    </xf>
    <xf numFmtId="0" fontId="2" fillId="0" borderId="61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3" fillId="25" borderId="16" xfId="0" applyFont="1" applyFill="1" applyBorder="1" applyAlignment="1">
      <alignment horizontal="center"/>
    </xf>
    <xf numFmtId="0" fontId="3" fillId="25" borderId="0" xfId="0" applyFont="1" applyFill="1" applyBorder="1" applyAlignment="1">
      <alignment horizontal="center"/>
    </xf>
    <xf numFmtId="0" fontId="3" fillId="25" borderId="15" xfId="0" applyFont="1" applyFill="1" applyBorder="1" applyAlignment="1">
      <alignment horizontal="center"/>
    </xf>
    <xf numFmtId="0" fontId="2" fillId="0" borderId="62" xfId="0" applyFont="1" applyFill="1" applyBorder="1" applyAlignment="1">
      <alignment horizontal="center"/>
    </xf>
    <xf numFmtId="0" fontId="2" fillId="0" borderId="63" xfId="0" applyFont="1" applyFill="1" applyBorder="1" applyAlignment="1">
      <alignment horizontal="center"/>
    </xf>
    <xf numFmtId="164" fontId="2" fillId="26" borderId="44" xfId="0" applyNumberFormat="1" applyFont="1" applyFill="1" applyBorder="1" applyAlignment="1">
      <alignment horizontal="center"/>
    </xf>
    <xf numFmtId="164" fontId="2" fillId="26" borderId="49" xfId="0" applyNumberFormat="1" applyFont="1" applyFill="1" applyBorder="1" applyAlignment="1">
      <alignment horizontal="center"/>
    </xf>
    <xf numFmtId="0" fontId="2" fillId="26" borderId="60" xfId="0" applyFont="1" applyFill="1" applyBorder="1" applyAlignment="1">
      <alignment horizontal="center"/>
    </xf>
    <xf numFmtId="0" fontId="2" fillId="26" borderId="64" xfId="0" applyFont="1" applyFill="1" applyBorder="1" applyAlignment="1">
      <alignment horizontal="center"/>
    </xf>
    <xf numFmtId="0" fontId="2" fillId="0" borderId="22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58" xfId="0" applyFont="1" applyBorder="1" applyAlignment="1">
      <alignment horizontal="center" vertical="center"/>
    </xf>
    <xf numFmtId="0" fontId="2" fillId="0" borderId="65" xfId="0" applyFont="1" applyBorder="1" applyAlignment="1">
      <alignment horizontal="center" vertical="center"/>
    </xf>
    <xf numFmtId="0" fontId="0" fillId="0" borderId="43" xfId="0" applyBorder="1" applyAlignment="1">
      <alignment horizontal="center"/>
    </xf>
    <xf numFmtId="0" fontId="0" fillId="0" borderId="66" xfId="0" applyBorder="1" applyAlignment="1">
      <alignment horizontal="center"/>
    </xf>
    <xf numFmtId="0" fontId="4" fillId="0" borderId="27" xfId="0" applyFont="1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28" xfId="0" applyBorder="1" applyAlignment="1">
      <alignment horizontal="center"/>
    </xf>
    <xf numFmtId="0" fontId="2" fillId="0" borderId="60" xfId="0" applyFont="1" applyBorder="1" applyAlignment="1">
      <alignment horizontal="right"/>
    </xf>
    <xf numFmtId="0" fontId="2" fillId="0" borderId="67" xfId="0" applyFont="1" applyBorder="1" applyAlignment="1">
      <alignment horizontal="right"/>
    </xf>
    <xf numFmtId="0" fontId="2" fillId="0" borderId="64" xfId="0" applyFont="1" applyBorder="1" applyAlignment="1">
      <alignment horizontal="right"/>
    </xf>
    <xf numFmtId="0" fontId="2" fillId="0" borderId="68" xfId="0" applyFont="1" applyBorder="1" applyAlignment="1">
      <alignment horizontal="right"/>
    </xf>
    <xf numFmtId="0" fontId="2" fillId="26" borderId="61" xfId="0" applyFont="1" applyFill="1" applyBorder="1" applyAlignment="1">
      <alignment horizontal="center"/>
    </xf>
    <xf numFmtId="0" fontId="2" fillId="26" borderId="28" xfId="0" applyFont="1" applyFill="1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47" xfId="0" applyBorder="1" applyAlignment="1">
      <alignment horizontal="center"/>
    </xf>
    <xf numFmtId="0" fontId="2" fillId="0" borderId="67" xfId="0" applyFont="1" applyBorder="1" applyAlignment="1">
      <alignment horizontal="center"/>
    </xf>
    <xf numFmtId="0" fontId="3" fillId="25" borderId="14" xfId="0" applyFont="1" applyFill="1" applyBorder="1" applyAlignment="1">
      <alignment horizontal="center"/>
    </xf>
  </cellXfs>
  <cellStyles count="44">
    <cellStyle name="20 % - Akzent1" xfId="1"/>
    <cellStyle name="20 % - Akzent2" xfId="2"/>
    <cellStyle name="20 % - Akzent3" xfId="3"/>
    <cellStyle name="20 % - Akzent4" xfId="4"/>
    <cellStyle name="20 % - Akzent5" xfId="5"/>
    <cellStyle name="20 % - Akzent6" xfId="6"/>
    <cellStyle name="40 % - Akzent1" xfId="7"/>
    <cellStyle name="40 % - Akzent2" xfId="8"/>
    <cellStyle name="40 % - Akzent3" xfId="9"/>
    <cellStyle name="40 % - Akzent4" xfId="10"/>
    <cellStyle name="40 % - Akzent5" xfId="11"/>
    <cellStyle name="40 % - Akzent6" xfId="12"/>
    <cellStyle name="60 % - Akzent1" xfId="13"/>
    <cellStyle name="60 % - Akzent2" xfId="14"/>
    <cellStyle name="60 % - Akzent3" xfId="15"/>
    <cellStyle name="60 % - Akzent4" xfId="16"/>
    <cellStyle name="60 % - Akzent5" xfId="17"/>
    <cellStyle name="60 % - Akzent6" xfId="18"/>
    <cellStyle name="Akzent1" xfId="19"/>
    <cellStyle name="Akzent2" xfId="20"/>
    <cellStyle name="Akzent3" xfId="21"/>
    <cellStyle name="Akzent4" xfId="22"/>
    <cellStyle name="Akzent5" xfId="23"/>
    <cellStyle name="Akzent6" xfId="24"/>
    <cellStyle name="Ausgabe" xfId="25"/>
    <cellStyle name="Berechnung" xfId="26"/>
    <cellStyle name="Eingabe" xfId="27"/>
    <cellStyle name="Ergebnis" xfId="28"/>
    <cellStyle name="Erklärender Text" xfId="29"/>
    <cellStyle name="Gut" xfId="30"/>
    <cellStyle name="Normal" xfId="0" builtinId="0"/>
    <cellStyle name="Normal 2" xfId="43"/>
    <cellStyle name="Notiz" xfId="31"/>
    <cellStyle name="Procent 2" xfId="32"/>
    <cellStyle name="Procent 2 2" xfId="33"/>
    <cellStyle name="Schlecht" xfId="34"/>
    <cellStyle name="Überschrift" xfId="37"/>
    <cellStyle name="Überschrift 1" xfId="38"/>
    <cellStyle name="Überschrift 2" xfId="39"/>
    <cellStyle name="Überschrift 3" xfId="40"/>
    <cellStyle name="Überschrift 4" xfId="41"/>
    <cellStyle name="Verknüpfte Zelle" xfId="35"/>
    <cellStyle name="Warnender Text" xfId="36"/>
    <cellStyle name="Zelle überprüfen" xfId="42"/>
  </cellStyles>
  <dxfs count="1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863954505686795E-2"/>
          <c:y val="7.4548702245552642E-2"/>
          <c:w val="0.89338604549431333"/>
          <c:h val="0.80021216097987746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2"/>
            <c:dispRSqr val="0"/>
            <c:dispEq val="1"/>
            <c:trendlineLbl>
              <c:layout>
                <c:manualLayout>
                  <c:x val="-0.14090791776027997"/>
                  <c:y val="-3.3497375328083992E-3"/>
                </c:manualLayout>
              </c:layout>
              <c:numFmt formatCode="General" sourceLinked="0"/>
            </c:trendlineLbl>
          </c:trendline>
          <c:xVal>
            <c:numRef>
              <c:f>'Frese S'!$E$36:$E$44</c:f>
            </c:numRef>
          </c:xVal>
          <c:yVal>
            <c:numRef>
              <c:f>'Frese S'!$F$36:$F$44</c:f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BE8A-4225-8021-C9FA06C35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7754784"/>
        <c:axId val="347745536"/>
      </c:scatterChart>
      <c:valAx>
        <c:axId val="347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347745536"/>
        <c:crosses val="autoZero"/>
        <c:crossBetween val="midCat"/>
      </c:valAx>
      <c:valAx>
        <c:axId val="3477455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775478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'Frese SIGMA Compact'!$E$36:$E$41</c:f>
            </c:numRef>
          </c:xVal>
          <c:yVal>
            <c:numRef>
              <c:f>'Frese SIGMA Compact'!$F$36:$F$41</c:f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FAD-4E01-BC24-ECACEE36E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7755328"/>
        <c:axId val="347750976"/>
      </c:scatterChart>
      <c:valAx>
        <c:axId val="34775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7750976"/>
        <c:crosses val="autoZero"/>
        <c:crossBetween val="midCat"/>
      </c:valAx>
      <c:valAx>
        <c:axId val="3477509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77553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3"/>
            <c:dispRSqr val="0"/>
            <c:dispEq val="1"/>
            <c:trendlineLbl>
              <c:layout>
                <c:manualLayout>
                  <c:x val="-2.7644479159375911E-3"/>
                  <c:y val="-9.8615007451490211E-2"/>
                </c:manualLayout>
              </c:layout>
              <c:numFmt formatCode="#,##0.000" sourceLinked="0"/>
            </c:trendlineLbl>
          </c:trendline>
          <c:xVal>
            <c:numRef>
              <c:f>'Frese OPTIMA'!$E$36:$E$40</c:f>
            </c:numRef>
          </c:xVal>
          <c:yVal>
            <c:numRef>
              <c:f>'Frese OPTIMA'!$F$36:$F$40</c:f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9446-441C-BFFA-01A904453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7746624"/>
        <c:axId val="347753696"/>
      </c:scatterChart>
      <c:valAx>
        <c:axId val="34774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347753696"/>
        <c:crosses val="autoZero"/>
        <c:crossBetween val="midCat"/>
      </c:valAx>
      <c:valAx>
        <c:axId val="3477536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774662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146595892765794E-2"/>
          <c:y val="6.2777854522570647E-2"/>
          <c:w val="0.88631883474629569"/>
          <c:h val="0.85904805758929259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4"/>
            <c:dispRSqr val="0"/>
            <c:dispEq val="1"/>
            <c:trendlineLbl>
              <c:layout>
                <c:manualLayout>
                  <c:x val="0.1225567881669308"/>
                  <c:y val="-5.2798977050945557E-2"/>
                </c:manualLayout>
              </c:layout>
              <c:numFmt formatCode="#,##0.0000000000" sourceLinked="0"/>
            </c:trendlineLbl>
          </c:trendline>
          <c:xVal>
            <c:numRef>
              <c:f>'Frese OPTIMA Compact'!$E$40:$E$44</c:f>
            </c:numRef>
          </c:xVal>
          <c:yVal>
            <c:numRef>
              <c:f>'Frese OPTIMA Compact'!$F$40:$F$44</c:f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90FE-4690-A655-6300A0B4B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7747712"/>
        <c:axId val="347748256"/>
      </c:scatterChart>
      <c:valAx>
        <c:axId val="347747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347748256"/>
        <c:crosses val="autoZero"/>
        <c:crossBetween val="midCat"/>
      </c:valAx>
      <c:valAx>
        <c:axId val="3477482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774771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4"/>
            <c:dispRSqr val="0"/>
            <c:dispEq val="1"/>
            <c:trendlineLbl>
              <c:layout>
                <c:manualLayout>
                  <c:x val="2.6836395450568679E-2"/>
                  <c:y val="-1.4363517060367453E-2"/>
                </c:manualLayout>
              </c:layout>
              <c:numFmt formatCode="#,##0.000000" sourceLinked="0"/>
            </c:trendlineLbl>
          </c:trendline>
          <c:xVal>
            <c:numRef>
              <c:f>'Frese OPTIMA Compact Flanged'!$E$42:$E$45</c:f>
            </c:numRef>
          </c:xVal>
          <c:yVal>
            <c:numRef>
              <c:f>'Frese OPTIMA Compact Flanged'!$F$42:$F$45</c:f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462C-49A7-BE26-3E70E5D7E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7748800"/>
        <c:axId val="347752608"/>
      </c:scatterChart>
      <c:valAx>
        <c:axId val="34774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347752608"/>
        <c:crosses val="autoZero"/>
        <c:crossBetween val="midCat"/>
      </c:valAx>
      <c:valAx>
        <c:axId val="3477526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774880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poly"/>
            <c:order val="3"/>
            <c:dispRSqr val="0"/>
            <c:dispEq val="1"/>
            <c:trendlineLbl>
              <c:layout>
                <c:manualLayout>
                  <c:x val="-0.1891079859074668"/>
                  <c:y val="0.11656105156505234"/>
                </c:manualLayout>
              </c:layout>
              <c:numFmt formatCode="General" sourceLinked="0"/>
            </c:trendlineLbl>
          </c:trendline>
          <c:xVal>
            <c:numRef>
              <c:f>'[1]Frese OPTIMA Compact'!$E$39:$E$43</c:f>
              <c:numCache>
                <c:formatCode>General</c:formatCode>
                <c:ptCount val="5"/>
                <c:pt idx="0">
                  <c:v>0.6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</c:numCache>
            </c:numRef>
          </c:xVal>
          <c:yVal>
            <c:numRef>
              <c:f>'[1]Frese OPTIMA Compact'!$F$39:$F$43</c:f>
              <c:numCache>
                <c:formatCode>General</c:formatCode>
                <c:ptCount val="5"/>
                <c:pt idx="0">
                  <c:v>10</c:v>
                </c:pt>
                <c:pt idx="1">
                  <c:v>11</c:v>
                </c:pt>
                <c:pt idx="2">
                  <c:v>13</c:v>
                </c:pt>
                <c:pt idx="3">
                  <c:v>22</c:v>
                </c:pt>
                <c:pt idx="4">
                  <c:v>36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DC46-49CC-95AF-D7632C404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7755872"/>
        <c:axId val="347729200"/>
      </c:scatterChart>
      <c:valAx>
        <c:axId val="34775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347729200"/>
        <c:crosses val="autoZero"/>
        <c:crossBetween val="midCat"/>
      </c:valAx>
      <c:valAx>
        <c:axId val="3477292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775587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jpeg"/><Relationship Id="rId4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2.emf"/><Relationship Id="rId1" Type="http://schemas.openxmlformats.org/officeDocument/2006/relationships/image" Target="../media/image4.png"/><Relationship Id="rId4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4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0.emf"/><Relationship Id="rId1" Type="http://schemas.openxmlformats.org/officeDocument/2006/relationships/image" Target="../media/image9.jpeg"/><Relationship Id="rId4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chart" Target="../charts/chart5.xml"/><Relationship Id="rId1" Type="http://schemas.openxmlformats.org/officeDocument/2006/relationships/image" Target="../media/image12.emf"/><Relationship Id="rId4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jpeg"/><Relationship Id="rId1" Type="http://schemas.openxmlformats.org/officeDocument/2006/relationships/image" Target="../media/image15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chart" Target="../charts/chart6.xml"/><Relationship Id="rId5" Type="http://schemas.openxmlformats.org/officeDocument/2006/relationships/image" Target="../media/image23.jpeg"/><Relationship Id="rId4" Type="http://schemas.openxmlformats.org/officeDocument/2006/relationships/image" Target="../media/image22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514350</xdr:colOff>
      <xdr:row>2</xdr:row>
      <xdr:rowOff>66675</xdr:rowOff>
    </xdr:from>
    <xdr:to>
      <xdr:col>8</xdr:col>
      <xdr:colOff>828675</xdr:colOff>
      <xdr:row>24</xdr:row>
      <xdr:rowOff>0</xdr:rowOff>
    </xdr:to>
    <xdr:pic>
      <xdr:nvPicPr>
        <xdr:cNvPr id="1388" name="Picture 1" descr="Frese S">
          <a:extLst>
            <a:ext uri="{FF2B5EF4-FFF2-40B4-BE49-F238E27FC236}">
              <a16:creationId xmlns:a16="http://schemas.microsoft.com/office/drawing/2014/main" xmlns="" id="{00000000-0008-0000-00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600075"/>
          <a:ext cx="3171825" cy="3552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1016390</xdr:colOff>
      <xdr:row>21</xdr:row>
      <xdr:rowOff>152400</xdr:rowOff>
    </xdr:from>
    <xdr:to>
      <xdr:col>3</xdr:col>
      <xdr:colOff>1009649</xdr:colOff>
      <xdr:row>30</xdr:row>
      <xdr:rowOff>66675</xdr:rowOff>
    </xdr:to>
    <xdr:pic>
      <xdr:nvPicPr>
        <xdr:cNvPr id="1389" name="Picture 2">
          <a:extLst>
            <a:ext uri="{FF2B5EF4-FFF2-40B4-BE49-F238E27FC236}">
              <a16:creationId xmlns:a16="http://schemas.microsoft.com/office/drawing/2014/main" xmlns="" id="{00000000-0008-0000-00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0040" y="3819525"/>
          <a:ext cx="1041009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21</xdr:row>
      <xdr:rowOff>142875</xdr:rowOff>
    </xdr:from>
    <xdr:to>
      <xdr:col>8</xdr:col>
      <xdr:colOff>1104900</xdr:colOff>
      <xdr:row>31</xdr:row>
      <xdr:rowOff>142875</xdr:rowOff>
    </xdr:to>
    <xdr:pic>
      <xdr:nvPicPr>
        <xdr:cNvPr id="1390" name="Picture 3">
          <a:extLst>
            <a:ext uri="{FF2B5EF4-FFF2-40B4-BE49-F238E27FC236}">
              <a16:creationId xmlns:a16="http://schemas.microsoft.com/office/drawing/2014/main" xmlns="" id="{00000000-0008-0000-00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5" y="3810000"/>
          <a:ext cx="3838575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209550</xdr:colOff>
      <xdr:row>34</xdr:row>
      <xdr:rowOff>66675</xdr:rowOff>
    </xdr:from>
    <xdr:to>
      <xdr:col>12</xdr:col>
      <xdr:colOff>219075</xdr:colOff>
      <xdr:row>51</xdr:row>
      <xdr:rowOff>9525</xdr:rowOff>
    </xdr:to>
    <xdr:graphicFrame macro="">
      <xdr:nvGraphicFramePr>
        <xdr:cNvPr id="1391" name="Diagram 1">
          <a:extLst>
            <a:ext uri="{FF2B5EF4-FFF2-40B4-BE49-F238E27FC236}">
              <a16:creationId xmlns:a16="http://schemas.microsoft.com/office/drawing/2014/main" xmlns="" id="{00000000-0008-0000-0000-00006F0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550335</xdr:colOff>
      <xdr:row>4</xdr:row>
      <xdr:rowOff>126024</xdr:rowOff>
    </xdr:from>
    <xdr:to>
      <xdr:col>7</xdr:col>
      <xdr:colOff>550335</xdr:colOff>
      <xdr:row>19</xdr:row>
      <xdr:rowOff>14117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2360" y="992799"/>
          <a:ext cx="2143125" cy="2355068"/>
        </a:xfrm>
        <a:prstGeom prst="rect">
          <a:avLst/>
        </a:prstGeom>
      </xdr:spPr>
    </xdr:pic>
    <xdr:clientData/>
  </xdr:twoCellAnchor>
  <xdr:twoCellAnchor editAs="oneCell">
    <xdr:from>
      <xdr:col>4</xdr:col>
      <xdr:colOff>533405</xdr:colOff>
      <xdr:row>30</xdr:row>
      <xdr:rowOff>56167</xdr:rowOff>
    </xdr:from>
    <xdr:to>
      <xdr:col>7</xdr:col>
      <xdr:colOff>533405</xdr:colOff>
      <xdr:row>44</xdr:row>
      <xdr:rowOff>103009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5430" y="5418742"/>
          <a:ext cx="2143125" cy="23518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438150</xdr:colOff>
      <xdr:row>2</xdr:row>
      <xdr:rowOff>76200</xdr:rowOff>
    </xdr:from>
    <xdr:to>
      <xdr:col>8</xdr:col>
      <xdr:colOff>149401</xdr:colOff>
      <xdr:row>19</xdr:row>
      <xdr:rowOff>96370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02" t="15055" r="34082" b="11296"/>
        <a:stretch/>
      </xdr:blipFill>
      <xdr:spPr>
        <a:xfrm>
          <a:off x="5781675" y="609600"/>
          <a:ext cx="1854376" cy="282052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</xdr:row>
      <xdr:rowOff>133350</xdr:rowOff>
    </xdr:from>
    <xdr:to>
      <xdr:col>3</xdr:col>
      <xdr:colOff>1041009</xdr:colOff>
      <xdr:row>30</xdr:row>
      <xdr:rowOff>47625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0" y="3800475"/>
          <a:ext cx="1041009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1019175</xdr:colOff>
      <xdr:row>20</xdr:row>
      <xdr:rowOff>123825</xdr:rowOff>
    </xdr:from>
    <xdr:to>
      <xdr:col>8</xdr:col>
      <xdr:colOff>1167425</xdr:colOff>
      <xdr:row>31</xdr:row>
      <xdr:rowOff>58500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3629025"/>
          <a:ext cx="4053500" cy="171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447675</xdr:colOff>
      <xdr:row>33</xdr:row>
      <xdr:rowOff>119062</xdr:rowOff>
    </xdr:from>
    <xdr:to>
      <xdr:col>12</xdr:col>
      <xdr:colOff>457200</xdr:colOff>
      <xdr:row>50</xdr:row>
      <xdr:rowOff>42862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873619</xdr:colOff>
      <xdr:row>21</xdr:row>
      <xdr:rowOff>28575</xdr:rowOff>
    </xdr:from>
    <xdr:to>
      <xdr:col>4</xdr:col>
      <xdr:colOff>180975</xdr:colOff>
      <xdr:row>29</xdr:row>
      <xdr:rowOff>95250</xdr:rowOff>
    </xdr:to>
    <xdr:pic>
      <xdr:nvPicPr>
        <xdr:cNvPr id="2423" name="Picture 1">
          <a:extLst>
            <a:ext uri="{FF2B5EF4-FFF2-40B4-BE49-F238E27FC236}">
              <a16:creationId xmlns:a16="http://schemas.microsoft.com/office/drawing/2014/main" xmlns="" id="{00000000-0008-0000-0200-00007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7269" y="3695700"/>
          <a:ext cx="1402856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609600</xdr:colOff>
      <xdr:row>21</xdr:row>
      <xdr:rowOff>152400</xdr:rowOff>
    </xdr:from>
    <xdr:to>
      <xdr:col>8</xdr:col>
      <xdr:colOff>1314450</xdr:colOff>
      <xdr:row>32</xdr:row>
      <xdr:rowOff>142875</xdr:rowOff>
    </xdr:to>
    <xdr:pic>
      <xdr:nvPicPr>
        <xdr:cNvPr id="2424" name="Picture 2">
          <a:extLst>
            <a:ext uri="{FF2B5EF4-FFF2-40B4-BE49-F238E27FC236}">
              <a16:creationId xmlns:a16="http://schemas.microsoft.com/office/drawing/2014/main" xmlns="" id="{00000000-0008-0000-0200-00007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3819525"/>
          <a:ext cx="2847975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200025</xdr:colOff>
      <xdr:row>2</xdr:row>
      <xdr:rowOff>47625</xdr:rowOff>
    </xdr:from>
    <xdr:to>
      <xdr:col>8</xdr:col>
      <xdr:colOff>581025</xdr:colOff>
      <xdr:row>21</xdr:row>
      <xdr:rowOff>28575</xdr:rowOff>
    </xdr:to>
    <xdr:pic>
      <xdr:nvPicPr>
        <xdr:cNvPr id="2425" name="Picture 3" descr="OPTIMA frit lille copy">
          <a:extLst>
            <a:ext uri="{FF2B5EF4-FFF2-40B4-BE49-F238E27FC236}">
              <a16:creationId xmlns:a16="http://schemas.microsoft.com/office/drawing/2014/main" xmlns="" id="{00000000-0008-0000-0200-00007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581025"/>
          <a:ext cx="2524125" cy="311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161925</xdr:colOff>
      <xdr:row>33</xdr:row>
      <xdr:rowOff>76200</xdr:rowOff>
    </xdr:from>
    <xdr:to>
      <xdr:col>13</xdr:col>
      <xdr:colOff>190500</xdr:colOff>
      <xdr:row>63</xdr:row>
      <xdr:rowOff>57150</xdr:rowOff>
    </xdr:to>
    <xdr:graphicFrame macro="">
      <xdr:nvGraphicFramePr>
        <xdr:cNvPr id="2426" name="Diagram 1">
          <a:extLst>
            <a:ext uri="{FF2B5EF4-FFF2-40B4-BE49-F238E27FC236}">
              <a16:creationId xmlns:a16="http://schemas.microsoft.com/office/drawing/2014/main" xmlns="" id="{00000000-0008-0000-0200-00007A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44320</xdr:colOff>
      <xdr:row>27</xdr:row>
      <xdr:rowOff>123825</xdr:rowOff>
    </xdr:from>
    <xdr:to>
      <xdr:col>3</xdr:col>
      <xdr:colOff>1000125</xdr:colOff>
      <xdr:row>33</xdr:row>
      <xdr:rowOff>95250</xdr:rowOff>
    </xdr:to>
    <xdr:pic>
      <xdr:nvPicPr>
        <xdr:cNvPr id="3462" name="Picture 3" descr="OPTIMA Compact pre setting">
          <a:extLst>
            <a:ext uri="{FF2B5EF4-FFF2-40B4-BE49-F238E27FC236}">
              <a16:creationId xmlns:a16="http://schemas.microsoft.com/office/drawing/2014/main" xmlns="" id="{00000000-0008-0000-0300-00008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5720" y="4267200"/>
          <a:ext cx="95580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24</xdr:row>
      <xdr:rowOff>9525</xdr:rowOff>
    </xdr:from>
    <xdr:to>
      <xdr:col>8</xdr:col>
      <xdr:colOff>1276350</xdr:colOff>
      <xdr:row>36</xdr:row>
      <xdr:rowOff>85725</xdr:rowOff>
    </xdr:to>
    <xdr:pic>
      <xdr:nvPicPr>
        <xdr:cNvPr id="3463" name="Picture 5">
          <a:extLst>
            <a:ext uri="{FF2B5EF4-FFF2-40B4-BE49-F238E27FC236}">
              <a16:creationId xmlns:a16="http://schemas.microsoft.com/office/drawing/2014/main" xmlns="" id="{00000000-0008-0000-0300-00008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3676650"/>
          <a:ext cx="3152775" cy="2038350"/>
        </a:xfrm>
        <a:prstGeom prst="rect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57150</xdr:colOff>
      <xdr:row>39</xdr:row>
      <xdr:rowOff>104775</xdr:rowOff>
    </xdr:from>
    <xdr:to>
      <xdr:col>13</xdr:col>
      <xdr:colOff>342900</xdr:colOff>
      <xdr:row>60</xdr:row>
      <xdr:rowOff>85725</xdr:rowOff>
    </xdr:to>
    <xdr:graphicFrame macro="">
      <xdr:nvGraphicFramePr>
        <xdr:cNvPr id="3464" name="Diagram 1">
          <a:extLst>
            <a:ext uri="{FF2B5EF4-FFF2-40B4-BE49-F238E27FC236}">
              <a16:creationId xmlns:a16="http://schemas.microsoft.com/office/drawing/2014/main" xmlns="" id="{00000000-0008-0000-0300-000088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647700</xdr:colOff>
      <xdr:row>6</xdr:row>
      <xdr:rowOff>38100</xdr:rowOff>
    </xdr:from>
    <xdr:to>
      <xdr:col>8</xdr:col>
      <xdr:colOff>728863</xdr:colOff>
      <xdr:row>18</xdr:row>
      <xdr:rowOff>146050</xdr:rowOff>
    </xdr:to>
    <xdr:pic>
      <xdr:nvPicPr>
        <xdr:cNvPr id="6" name="Picture 37" descr="VFL+AXS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1225550"/>
          <a:ext cx="2081413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990600</xdr:colOff>
      <xdr:row>28</xdr:row>
      <xdr:rowOff>122203</xdr:rowOff>
    </xdr:from>
    <xdr:to>
      <xdr:col>3</xdr:col>
      <xdr:colOff>1023073</xdr:colOff>
      <xdr:row>35</xdr:row>
      <xdr:rowOff>0</xdr:rowOff>
    </xdr:to>
    <xdr:pic>
      <xdr:nvPicPr>
        <xdr:cNvPr id="4464" name="Billede 6">
          <a:extLst>
            <a:ext uri="{FF2B5EF4-FFF2-40B4-BE49-F238E27FC236}">
              <a16:creationId xmlns:a16="http://schemas.microsoft.com/office/drawing/2014/main" xmlns="" id="{00000000-0008-0000-0400-000070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3617878"/>
          <a:ext cx="1080223" cy="101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142875</xdr:colOff>
      <xdr:row>39</xdr:row>
      <xdr:rowOff>0</xdr:rowOff>
    </xdr:from>
    <xdr:to>
      <xdr:col>10</xdr:col>
      <xdr:colOff>1571625</xdr:colOff>
      <xdr:row>55</xdr:row>
      <xdr:rowOff>114300</xdr:rowOff>
    </xdr:to>
    <xdr:graphicFrame macro="">
      <xdr:nvGraphicFramePr>
        <xdr:cNvPr id="4465" name="Diagram 1">
          <a:extLst>
            <a:ext uri="{FF2B5EF4-FFF2-40B4-BE49-F238E27FC236}">
              <a16:creationId xmlns:a16="http://schemas.microsoft.com/office/drawing/2014/main" xmlns="" id="{00000000-0008-0000-0400-0000711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200025</xdr:colOff>
      <xdr:row>18</xdr:row>
      <xdr:rowOff>104775</xdr:rowOff>
    </xdr:from>
    <xdr:to>
      <xdr:col>8</xdr:col>
      <xdr:colOff>1171575</xdr:colOff>
      <xdr:row>32</xdr:row>
      <xdr:rowOff>76201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8" t="1780" r="8305" b="412"/>
        <a:stretch/>
      </xdr:blipFill>
      <xdr:spPr>
        <a:xfrm>
          <a:off x="4829175" y="3257550"/>
          <a:ext cx="3590925" cy="2257426"/>
        </a:xfrm>
        <a:prstGeom prst="rect">
          <a:avLst/>
        </a:prstGeom>
      </xdr:spPr>
    </xdr:pic>
    <xdr:clientData/>
  </xdr:twoCellAnchor>
  <xdr:twoCellAnchor editAs="oneCell">
    <xdr:from>
      <xdr:col>5</xdr:col>
      <xdr:colOff>642055</xdr:colOff>
      <xdr:row>4</xdr:row>
      <xdr:rowOff>134056</xdr:rowOff>
    </xdr:from>
    <xdr:to>
      <xdr:col>7</xdr:col>
      <xdr:colOff>625122</xdr:colOff>
      <xdr:row>17</xdr:row>
      <xdr:rowOff>125674</xdr:rowOff>
    </xdr:to>
    <xdr:pic>
      <xdr:nvPicPr>
        <xdr:cNvPr id="7" name="Imag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4166" y="987778"/>
          <a:ext cx="1231900" cy="21082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15</xdr:row>
      <xdr:rowOff>66675</xdr:rowOff>
    </xdr:from>
    <xdr:to>
      <xdr:col>13</xdr:col>
      <xdr:colOff>485775</xdr:colOff>
      <xdr:row>27</xdr:row>
      <xdr:rowOff>104775</xdr:rowOff>
    </xdr:to>
    <xdr:pic>
      <xdr:nvPicPr>
        <xdr:cNvPr id="88197" name="Picture 6">
          <a:extLst>
            <a:ext uri="{FF2B5EF4-FFF2-40B4-BE49-F238E27FC236}">
              <a16:creationId xmlns:a16="http://schemas.microsoft.com/office/drawing/2014/main" xmlns="" id="{00000000-0008-0000-0500-0000855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2781300"/>
          <a:ext cx="3914775" cy="200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352425</xdr:colOff>
      <xdr:row>3</xdr:row>
      <xdr:rowOff>38100</xdr:rowOff>
    </xdr:from>
    <xdr:to>
      <xdr:col>10</xdr:col>
      <xdr:colOff>657225</xdr:colOff>
      <xdr:row>16</xdr:row>
      <xdr:rowOff>19050</xdr:rowOff>
    </xdr:to>
    <xdr:pic>
      <xdr:nvPicPr>
        <xdr:cNvPr id="88198" name="Picture 5" descr="49-9037">
          <a:extLst>
            <a:ext uri="{FF2B5EF4-FFF2-40B4-BE49-F238E27FC236}">
              <a16:creationId xmlns:a16="http://schemas.microsoft.com/office/drawing/2014/main" xmlns="" id="{00000000-0008-0000-0500-0000865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790575"/>
          <a:ext cx="2314575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28575</xdr:colOff>
      <xdr:row>14</xdr:row>
      <xdr:rowOff>114300</xdr:rowOff>
    </xdr:from>
    <xdr:to>
      <xdr:col>13</xdr:col>
      <xdr:colOff>571500</xdr:colOff>
      <xdr:row>27</xdr:row>
      <xdr:rowOff>9525</xdr:rowOff>
    </xdr:to>
    <xdr:sp macro="" textlink="">
      <xdr:nvSpPr>
        <xdr:cNvPr id="88199" name="Picture 6">
          <a:extLst>
            <a:ext uri="{FF2B5EF4-FFF2-40B4-BE49-F238E27FC236}">
              <a16:creationId xmlns:a16="http://schemas.microsoft.com/office/drawing/2014/main" xmlns="" id="{00000000-0008-0000-0500-000087580100}"/>
            </a:ext>
          </a:extLst>
        </xdr:cNvPr>
        <xdr:cNvSpPr>
          <a:spLocks noChangeAspect="1" noChangeArrowheads="1"/>
        </xdr:cNvSpPr>
      </xdr:nvSpPr>
      <xdr:spPr bwMode="auto">
        <a:xfrm>
          <a:off x="5886450" y="2657475"/>
          <a:ext cx="4114800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152400</xdr:colOff>
      <xdr:row>8</xdr:row>
      <xdr:rowOff>19050</xdr:rowOff>
    </xdr:from>
    <xdr:to>
      <xdr:col>12</xdr:col>
      <xdr:colOff>266700</xdr:colOff>
      <xdr:row>14</xdr:row>
      <xdr:rowOff>57150</xdr:rowOff>
    </xdr:to>
    <xdr:pic>
      <xdr:nvPicPr>
        <xdr:cNvPr id="88200" name="Picture 7" descr="dn25L-50">
          <a:extLst>
            <a:ext uri="{FF2B5EF4-FFF2-40B4-BE49-F238E27FC236}">
              <a16:creationId xmlns:a16="http://schemas.microsoft.com/office/drawing/2014/main" xmlns="" id="{00000000-0008-0000-0500-0000885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400000">
          <a:off x="8153400" y="1581150"/>
          <a:ext cx="8286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95250</xdr:colOff>
      <xdr:row>17</xdr:row>
      <xdr:rowOff>104775</xdr:rowOff>
    </xdr:from>
    <xdr:to>
      <xdr:col>17</xdr:col>
      <xdr:colOff>457200</xdr:colOff>
      <xdr:row>37</xdr:row>
      <xdr:rowOff>9525</xdr:rowOff>
    </xdr:to>
    <xdr:pic>
      <xdr:nvPicPr>
        <xdr:cNvPr id="89155" name="Picture 2">
          <a:extLst>
            <a:ext uri="{FF2B5EF4-FFF2-40B4-BE49-F238E27FC236}">
              <a16:creationId xmlns:a16="http://schemas.microsoft.com/office/drawing/2014/main" xmlns="" id="{00000000-0008-0000-0600-0000435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4650" y="3000375"/>
          <a:ext cx="4400550" cy="3409950"/>
        </a:xfrm>
        <a:prstGeom prst="rect">
          <a:avLst/>
        </a:prstGeom>
        <a:solidFill>
          <a:srgbClr val="C0C0C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219075</xdr:colOff>
      <xdr:row>18</xdr:row>
      <xdr:rowOff>123825</xdr:rowOff>
    </xdr:from>
    <xdr:to>
      <xdr:col>6</xdr:col>
      <xdr:colOff>800100</xdr:colOff>
      <xdr:row>38</xdr:row>
      <xdr:rowOff>38100</xdr:rowOff>
    </xdr:to>
    <xdr:pic>
      <xdr:nvPicPr>
        <xdr:cNvPr id="89156" name="Billede 1">
          <a:extLst>
            <a:ext uri="{FF2B5EF4-FFF2-40B4-BE49-F238E27FC236}">
              <a16:creationId xmlns:a16="http://schemas.microsoft.com/office/drawing/2014/main" xmlns="" id="{00000000-0008-0000-0600-0000445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36" t="6104" r="28589" b="1936"/>
        <a:stretch>
          <a:fillRect/>
        </a:stretch>
      </xdr:blipFill>
      <xdr:spPr bwMode="auto">
        <a:xfrm>
          <a:off x="3295650" y="3181350"/>
          <a:ext cx="2552700" cy="3419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76200</xdr:colOff>
      <xdr:row>36</xdr:row>
      <xdr:rowOff>19050</xdr:rowOff>
    </xdr:from>
    <xdr:to>
      <xdr:col>13</xdr:col>
      <xdr:colOff>409575</xdr:colOff>
      <xdr:row>65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1104900</xdr:colOff>
      <xdr:row>24</xdr:row>
      <xdr:rowOff>66675</xdr:rowOff>
    </xdr:from>
    <xdr:to>
      <xdr:col>8</xdr:col>
      <xdr:colOff>714375</xdr:colOff>
      <xdr:row>33</xdr:row>
      <xdr:rowOff>152400</xdr:rowOff>
    </xdr:to>
    <xdr:pic>
      <xdr:nvPicPr>
        <xdr:cNvPr id="4" name="Billede 2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72" b="26389"/>
        <a:stretch>
          <a:fillRect/>
        </a:stretch>
      </xdr:blipFill>
      <xdr:spPr bwMode="auto">
        <a:xfrm>
          <a:off x="4686300" y="4076700"/>
          <a:ext cx="41433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352425</xdr:colOff>
      <xdr:row>6</xdr:row>
      <xdr:rowOff>76200</xdr:rowOff>
    </xdr:from>
    <xdr:to>
      <xdr:col>4</xdr:col>
      <xdr:colOff>1085850</xdr:colOff>
      <xdr:row>10</xdr:row>
      <xdr:rowOff>114300</xdr:rowOff>
    </xdr:to>
    <xdr:pic>
      <xdr:nvPicPr>
        <xdr:cNvPr id="5" name="Billede 5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689" t="83868" r="34323" b="4330"/>
        <a:stretch>
          <a:fillRect/>
        </a:stretch>
      </xdr:blipFill>
      <xdr:spPr bwMode="auto">
        <a:xfrm>
          <a:off x="5248275" y="1266825"/>
          <a:ext cx="7334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6</xdr:row>
      <xdr:rowOff>38100</xdr:rowOff>
    </xdr:from>
    <xdr:to>
      <xdr:col>1</xdr:col>
      <xdr:colOff>857250</xdr:colOff>
      <xdr:row>10</xdr:row>
      <xdr:rowOff>133350</xdr:rowOff>
    </xdr:to>
    <xdr:pic>
      <xdr:nvPicPr>
        <xdr:cNvPr id="6" name="Picture 3" descr="OPTIMA Compact pre setting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1228725"/>
          <a:ext cx="7429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304800</xdr:colOff>
      <xdr:row>2</xdr:row>
      <xdr:rowOff>68149</xdr:rowOff>
    </xdr:from>
    <xdr:to>
      <xdr:col>8</xdr:col>
      <xdr:colOff>1228726</xdr:colOff>
      <xdr:row>17</xdr:row>
      <xdr:rowOff>142920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9475" y="601549"/>
          <a:ext cx="2114551" cy="256079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219076</xdr:colOff>
      <xdr:row>2</xdr:row>
      <xdr:rowOff>170176</xdr:rowOff>
    </xdr:from>
    <xdr:to>
      <xdr:col>6</xdr:col>
      <xdr:colOff>695325</xdr:colOff>
      <xdr:row>19</xdr:row>
      <xdr:rowOff>75054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3351" y="703576"/>
          <a:ext cx="2952749" cy="2705228"/>
        </a:xfrm>
        <a:prstGeom prst="rect">
          <a:avLst/>
        </a:prstGeom>
      </xdr:spPr>
    </xdr:pic>
    <xdr:clientData/>
  </xdr:twoCellAnchor>
  <xdr:oneCellAnchor>
    <xdr:from>
      <xdr:col>3</xdr:col>
      <xdr:colOff>219076</xdr:colOff>
      <xdr:row>26</xdr:row>
      <xdr:rowOff>170176</xdr:rowOff>
    </xdr:from>
    <xdr:ext cx="2952749" cy="2705228"/>
    <xdr:pic>
      <xdr:nvPicPr>
        <xdr:cNvPr id="3" name="Billede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3351" y="4875526"/>
          <a:ext cx="2952749" cy="2705228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odkendelser\Quick%20Calc\Quick%20Control\Quick-Control%20DE%20JAN%20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ese S"/>
      <sheetName val="Frese SIGMA Compact"/>
      <sheetName val="Frese OPTIMA"/>
      <sheetName val="Frese OPTIMA Compact"/>
      <sheetName val="Frese OPTIMA Compact Flansch"/>
      <sheetName val="ALPHA"/>
      <sheetName val="ALPHA Flanch"/>
      <sheetName val="Frese OPTIMIZER"/>
      <sheetName val="FR-STV DN65-300"/>
    </sheetNames>
    <sheetDataSet>
      <sheetData sheetId="0"/>
      <sheetData sheetId="1"/>
      <sheetData sheetId="2"/>
      <sheetData sheetId="3">
        <row r="39">
          <cell r="E39">
            <v>0.6</v>
          </cell>
          <cell r="F39">
            <v>10</v>
          </cell>
        </row>
        <row r="40">
          <cell r="E40">
            <v>1</v>
          </cell>
          <cell r="F40">
            <v>11</v>
          </cell>
        </row>
        <row r="41">
          <cell r="E41">
            <v>2</v>
          </cell>
          <cell r="F41">
            <v>13</v>
          </cell>
        </row>
        <row r="42">
          <cell r="E42">
            <v>3</v>
          </cell>
          <cell r="F42">
            <v>22</v>
          </cell>
        </row>
        <row r="43">
          <cell r="E43">
            <v>4</v>
          </cell>
          <cell r="F43">
            <v>36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3"/>
  <sheetViews>
    <sheetView showGridLines="0" zoomScaleNormal="100" workbookViewId="0">
      <selection activeCell="C65" sqref="C65"/>
    </sheetView>
  </sheetViews>
  <sheetFormatPr baseColWidth="10" defaultColWidth="8.81640625" defaultRowHeight="12.5" x14ac:dyDescent="0.25"/>
  <cols>
    <col min="1" max="1" width="23.7265625" customWidth="1"/>
    <col min="2" max="2" width="14.26953125" customWidth="1"/>
    <col min="3" max="4" width="15.7265625" customWidth="1"/>
    <col min="5" max="8" width="10.7265625" customWidth="1"/>
    <col min="9" max="9" width="20.453125" bestFit="1" customWidth="1"/>
    <col min="13" max="14" width="20.26953125" bestFit="1" customWidth="1"/>
  </cols>
  <sheetData>
    <row r="1" spans="1:10" ht="20.5" thickTop="1" x14ac:dyDescent="0.4">
      <c r="A1" s="278" t="s">
        <v>90</v>
      </c>
      <c r="B1" s="279"/>
      <c r="C1" s="279"/>
      <c r="D1" s="279"/>
      <c r="E1" s="279"/>
      <c r="F1" s="279"/>
      <c r="G1" s="279"/>
      <c r="H1" s="279"/>
      <c r="I1" s="142"/>
      <c r="J1" s="1"/>
    </row>
    <row r="2" spans="1:10" ht="20.5" thickBot="1" x14ac:dyDescent="0.45">
      <c r="A2" s="27" t="s">
        <v>91</v>
      </c>
      <c r="B2" s="28"/>
      <c r="C2" s="28"/>
      <c r="D2" s="28"/>
      <c r="E2" s="28"/>
      <c r="F2" s="28"/>
      <c r="G2" s="28"/>
      <c r="H2" s="28"/>
      <c r="I2" s="29"/>
      <c r="J2" s="1"/>
    </row>
    <row r="3" spans="1:10" ht="13.5" thickTop="1" x14ac:dyDescent="0.3">
      <c r="A3" s="6"/>
      <c r="B3" s="21"/>
      <c r="C3" s="21"/>
      <c r="D3" s="7"/>
      <c r="E3" s="7"/>
      <c r="F3" s="7"/>
      <c r="G3" s="7"/>
      <c r="H3" s="7"/>
      <c r="I3" s="8"/>
    </row>
    <row r="4" spans="1:10" ht="13" x14ac:dyDescent="0.3">
      <c r="A4" s="10"/>
      <c r="B4" s="5" t="s">
        <v>1</v>
      </c>
      <c r="C4" s="2"/>
      <c r="E4" s="2"/>
      <c r="F4" s="2"/>
      <c r="G4" s="2"/>
      <c r="H4" s="2"/>
      <c r="I4" s="9"/>
    </row>
    <row r="5" spans="1:10" ht="13" x14ac:dyDescent="0.3">
      <c r="A5" s="34" t="s">
        <v>337</v>
      </c>
      <c r="B5" s="199">
        <v>40</v>
      </c>
      <c r="C5" s="12" t="s">
        <v>252</v>
      </c>
      <c r="E5" s="2"/>
      <c r="F5" s="2"/>
      <c r="G5" s="2"/>
      <c r="H5" s="2"/>
      <c r="I5" s="9"/>
    </row>
    <row r="6" spans="1:10" ht="13" x14ac:dyDescent="0.3">
      <c r="A6" s="34" t="s">
        <v>84</v>
      </c>
      <c r="B6" s="199">
        <v>10</v>
      </c>
      <c r="C6" s="12"/>
      <c r="E6" s="2"/>
      <c r="F6" s="11"/>
      <c r="G6" s="2"/>
      <c r="H6" s="2"/>
      <c r="I6" s="9"/>
    </row>
    <row r="7" spans="1:10" ht="13" x14ac:dyDescent="0.3">
      <c r="A7" s="10"/>
      <c r="B7" s="2"/>
      <c r="C7" s="2"/>
      <c r="E7" s="2"/>
      <c r="F7" s="11"/>
      <c r="G7" s="2"/>
      <c r="H7" s="2"/>
      <c r="I7" s="9"/>
    </row>
    <row r="8" spans="1:10" ht="13" thickBot="1" x14ac:dyDescent="0.3">
      <c r="A8" s="10"/>
      <c r="B8" s="2"/>
      <c r="C8" s="2"/>
      <c r="D8" s="2"/>
      <c r="E8" s="2"/>
      <c r="F8" s="2"/>
      <c r="G8" s="2"/>
      <c r="H8" s="2"/>
      <c r="I8" s="9"/>
    </row>
    <row r="9" spans="1:10" ht="13.5" thickTop="1" x14ac:dyDescent="0.3">
      <c r="A9" s="275" t="s">
        <v>0</v>
      </c>
      <c r="B9" s="277" t="s">
        <v>3</v>
      </c>
      <c r="C9" s="277"/>
      <c r="D9" s="179" t="s">
        <v>338</v>
      </c>
      <c r="E9" s="2"/>
      <c r="F9" s="2"/>
      <c r="G9" s="2"/>
      <c r="H9" s="2"/>
      <c r="I9" s="9"/>
    </row>
    <row r="10" spans="1:10" ht="13.5" thickBot="1" x14ac:dyDescent="0.35">
      <c r="A10" s="276"/>
      <c r="B10" s="203" t="s">
        <v>2</v>
      </c>
      <c r="C10" s="203" t="s">
        <v>4</v>
      </c>
      <c r="D10" s="200" t="s">
        <v>2</v>
      </c>
      <c r="E10" s="2"/>
      <c r="F10" s="2"/>
      <c r="G10" s="2"/>
      <c r="H10" s="2"/>
      <c r="I10" s="9"/>
    </row>
    <row r="11" spans="1:10" ht="13" x14ac:dyDescent="0.3">
      <c r="A11" s="22" t="s">
        <v>7</v>
      </c>
      <c r="B11" s="18" t="s">
        <v>8</v>
      </c>
      <c r="C11" s="18" t="s">
        <v>9</v>
      </c>
      <c r="D11" s="30">
        <f>IF($B$5&gt;250,"NOT POSSIBLE",IF($B$6&lt;1,"NOT POSSIBLE",(IF($B$6&gt;10,"NOT POSSIBLE",IF($B$5&gt;B36,C36,(1000*D36*(($B$5/100)^0.5)))))))</f>
        <v>803.91000000000111</v>
      </c>
      <c r="E11" s="2"/>
      <c r="F11" s="2"/>
      <c r="G11" s="2"/>
      <c r="H11" s="2"/>
      <c r="I11" s="9"/>
    </row>
    <row r="12" spans="1:10" ht="13" x14ac:dyDescent="0.3">
      <c r="A12" s="23" t="s">
        <v>10</v>
      </c>
      <c r="B12" s="19" t="s">
        <v>11</v>
      </c>
      <c r="C12" s="19" t="s">
        <v>12</v>
      </c>
      <c r="D12" s="55">
        <f>IF($B$5&gt;400,"NOT POSSIBLE",IF($B$6&lt;1,"NOT POSSIBLE",(IF($B$6&gt;10,"NOT POSSIBLE",IF($B$5&gt;B37,C37,(1000*D37*(($B$5/100)^0.5)))))))</f>
        <v>1101.4699999999996</v>
      </c>
      <c r="E12" s="2"/>
      <c r="F12" s="2"/>
      <c r="G12" s="2"/>
      <c r="H12" s="2"/>
      <c r="I12" s="9"/>
    </row>
    <row r="13" spans="1:10" ht="13" x14ac:dyDescent="0.3">
      <c r="A13" s="22" t="s">
        <v>13</v>
      </c>
      <c r="B13" s="18" t="s">
        <v>14</v>
      </c>
      <c r="C13" s="18" t="s">
        <v>15</v>
      </c>
      <c r="D13" s="55">
        <f>IF($B$5&gt;250,"NOT POSSIBLE",IF($B$6&lt;1,"NOT POSSIBLE",(IF($B$6&gt;10,"NOT POSSIBLE",IF($B$5&gt;B38,C38,(1000*D38*(($B$5/100)^0.5)))))))</f>
        <v>1264.6999999999998</v>
      </c>
      <c r="E13" s="2"/>
      <c r="F13" s="2"/>
      <c r="G13" s="2"/>
      <c r="H13" s="2"/>
      <c r="I13" s="9"/>
    </row>
    <row r="14" spans="1:10" ht="13" x14ac:dyDescent="0.3">
      <c r="A14" s="23" t="s">
        <v>16</v>
      </c>
      <c r="B14" s="19" t="s">
        <v>17</v>
      </c>
      <c r="C14" s="19" t="s">
        <v>18</v>
      </c>
      <c r="D14" s="55">
        <f>IF($B$5&gt;400,"NOT POSSIBLE",IF($B$6&lt;1,"NOT POSSIBLE",(IF($B$6&gt;10,"NOT POSSIBLE",IF($B$5&gt;B39,C39,(1000*D39*(($B$5/100)^0.5)))))))</f>
        <v>1841.9</v>
      </c>
      <c r="E14" s="2"/>
      <c r="F14" s="2"/>
      <c r="G14" s="2"/>
      <c r="H14" s="2"/>
      <c r="I14" s="9"/>
    </row>
    <row r="15" spans="1:10" ht="13" x14ac:dyDescent="0.3">
      <c r="A15" s="22" t="s">
        <v>19</v>
      </c>
      <c r="B15" s="18" t="s">
        <v>20</v>
      </c>
      <c r="C15" s="18" t="s">
        <v>15</v>
      </c>
      <c r="D15" s="55">
        <f>IF($B$5&gt;250,"NOT POSSIBLE",IF($B$6&lt;1,"NOT POSSIBLE",(IF($B$6&gt;10,"NOT POSSIBLE",IF($B$5&gt;B40,C40,(1000*D40*(($B$5/100)^0.5)))))))</f>
        <v>1663.3000000000018</v>
      </c>
      <c r="E15" s="2"/>
      <c r="F15" s="2"/>
      <c r="G15" s="2"/>
      <c r="H15" s="2"/>
      <c r="I15" s="9"/>
    </row>
    <row r="16" spans="1:10" ht="13" x14ac:dyDescent="0.3">
      <c r="A16" s="23" t="s">
        <v>21</v>
      </c>
      <c r="B16" s="19" t="s">
        <v>22</v>
      </c>
      <c r="C16" s="19" t="s">
        <v>18</v>
      </c>
      <c r="D16" s="55">
        <f>IF($B$5&gt;400,"NOT POSSIBLE",IF($B$6&lt;1,"NOT POSSIBLE",(IF($B$6&gt;10,"NOT POSSIBLE",IF($B$5&gt;B41,C41,(1000*D41*(($B$5/100)^0.5)))))))</f>
        <v>2351.1670000000004</v>
      </c>
      <c r="E16" s="2"/>
      <c r="F16" s="2"/>
      <c r="G16" s="2"/>
      <c r="H16" s="2"/>
      <c r="I16" s="9"/>
    </row>
    <row r="17" spans="1:9" ht="13" x14ac:dyDescent="0.3">
      <c r="A17" s="22" t="s">
        <v>23</v>
      </c>
      <c r="B17" s="18" t="s">
        <v>24</v>
      </c>
      <c r="C17" s="18" t="s">
        <v>25</v>
      </c>
      <c r="D17" s="55">
        <f>IF($B$5&gt;400,"NOT POSSIBLE",IF($B$6&lt;1,"NOT POSSIBLE",(IF($B$6&gt;10,"NOT POSSIBLE",IF($B$5&gt;B42,C42,(1000*D42*(($B$5/100)^0.5)))))))</f>
        <v>4780.3670000000002</v>
      </c>
      <c r="E17" s="2"/>
      <c r="F17" s="2"/>
      <c r="G17" s="2"/>
      <c r="H17" s="2"/>
      <c r="I17" s="9"/>
    </row>
    <row r="18" spans="1:9" ht="13" x14ac:dyDescent="0.3">
      <c r="A18" s="23" t="s">
        <v>26</v>
      </c>
      <c r="B18" s="19" t="s">
        <v>27</v>
      </c>
      <c r="C18" s="19" t="s">
        <v>28</v>
      </c>
      <c r="D18" s="55">
        <f>IF($B$5&gt;400,"NOT POSSIBLE",IF($B$6&lt;1,"NOT POSSIBLE",(IF($B$6&gt;10,"NOT POSSIBLE",IF($B$5&gt;B43,C43,(1000*D43*(($B$5/100)^0.5)))))))</f>
        <v>7441.5899999999992</v>
      </c>
      <c r="E18" s="2"/>
      <c r="F18" s="2"/>
      <c r="G18" s="2"/>
      <c r="H18" s="2"/>
      <c r="I18" s="9"/>
    </row>
    <row r="19" spans="1:9" ht="13.5" thickBot="1" x14ac:dyDescent="0.35">
      <c r="A19" s="24" t="s">
        <v>29</v>
      </c>
      <c r="B19" s="20" t="s">
        <v>30</v>
      </c>
      <c r="C19" s="20" t="s">
        <v>31</v>
      </c>
      <c r="D19" s="56">
        <f>IF($B$5&gt;400,"NOT POSSIBLE",IF($B$6&lt;1,"NOT POSSIBLE",(IF($B$6&gt;10,"NOT POSSIBLE",IF($B$5&gt;B44,C44,(1000*D44*(($B$5/100)^0.5)))))))</f>
        <v>10326.070000000002</v>
      </c>
      <c r="E19" s="2"/>
      <c r="F19" s="2"/>
      <c r="G19" s="2"/>
      <c r="H19" s="2"/>
      <c r="I19" s="9"/>
    </row>
    <row r="20" spans="1:9" ht="13" thickTop="1" x14ac:dyDescent="0.25">
      <c r="A20" s="10"/>
      <c r="B20" s="2"/>
      <c r="C20" s="2"/>
      <c r="D20" s="233" t="s">
        <v>376</v>
      </c>
      <c r="E20" s="2"/>
      <c r="F20" s="2"/>
      <c r="G20" s="2"/>
      <c r="H20" s="2"/>
      <c r="I20" s="9"/>
    </row>
    <row r="21" spans="1:9" x14ac:dyDescent="0.25">
      <c r="A21" s="10"/>
      <c r="B21" s="2"/>
      <c r="C21" s="2"/>
      <c r="D21" s="234" t="s">
        <v>377</v>
      </c>
      <c r="E21" s="2"/>
      <c r="F21" s="2"/>
      <c r="G21" s="2"/>
      <c r="H21" s="2"/>
      <c r="I21" s="9"/>
    </row>
    <row r="22" spans="1:9" x14ac:dyDescent="0.25">
      <c r="A22" s="10"/>
      <c r="B22" s="2"/>
      <c r="C22" s="2"/>
      <c r="E22" s="2"/>
      <c r="F22" s="2"/>
      <c r="G22" s="2"/>
      <c r="H22" s="2"/>
      <c r="I22" s="9"/>
    </row>
    <row r="23" spans="1:9" x14ac:dyDescent="0.25">
      <c r="A23" s="10"/>
      <c r="B23" s="2"/>
      <c r="C23" s="2"/>
      <c r="E23" s="2"/>
      <c r="F23" s="2"/>
      <c r="G23" s="2"/>
      <c r="H23" s="2"/>
      <c r="I23" s="9"/>
    </row>
    <row r="24" spans="1:9" x14ac:dyDescent="0.25">
      <c r="A24" s="10"/>
      <c r="B24" s="2"/>
      <c r="C24" s="2"/>
      <c r="E24" s="2"/>
      <c r="F24" s="2"/>
      <c r="G24" s="2"/>
      <c r="H24" s="2"/>
      <c r="I24" s="9"/>
    </row>
    <row r="25" spans="1:9" x14ac:dyDescent="0.25">
      <c r="A25" s="10"/>
      <c r="B25" s="2"/>
      <c r="C25" s="2"/>
      <c r="E25" s="2"/>
      <c r="F25" s="2"/>
      <c r="G25" s="2"/>
      <c r="H25" s="2"/>
      <c r="I25" s="9"/>
    </row>
    <row r="26" spans="1:9" x14ac:dyDescent="0.25">
      <c r="A26" s="10"/>
      <c r="B26" s="2"/>
      <c r="C26" s="2"/>
      <c r="E26" s="2"/>
      <c r="F26" s="2"/>
      <c r="G26" s="2"/>
      <c r="H26" s="2"/>
      <c r="I26" s="9"/>
    </row>
    <row r="27" spans="1:9" x14ac:dyDescent="0.25">
      <c r="A27" s="10"/>
      <c r="B27" s="2"/>
      <c r="C27" s="2"/>
      <c r="E27" s="2"/>
      <c r="F27" s="2"/>
      <c r="G27" s="2"/>
      <c r="H27" s="2"/>
      <c r="I27" s="9"/>
    </row>
    <row r="28" spans="1:9" x14ac:dyDescent="0.25">
      <c r="A28" s="10"/>
      <c r="B28" s="2"/>
      <c r="C28" s="2"/>
      <c r="E28" s="2"/>
      <c r="F28" s="2"/>
      <c r="G28" s="2"/>
      <c r="H28" s="2"/>
      <c r="I28" s="9"/>
    </row>
    <row r="29" spans="1:9" x14ac:dyDescent="0.25">
      <c r="A29" s="10"/>
      <c r="B29" s="2"/>
      <c r="C29" s="2"/>
      <c r="E29" s="2"/>
      <c r="F29" s="2"/>
      <c r="G29" s="2"/>
      <c r="H29" s="2"/>
      <c r="I29" s="9"/>
    </row>
    <row r="30" spans="1:9" x14ac:dyDescent="0.25">
      <c r="A30" s="10"/>
      <c r="B30" s="2"/>
      <c r="C30" s="2"/>
      <c r="E30" s="2"/>
      <c r="F30" s="2"/>
      <c r="G30" s="2"/>
      <c r="H30" s="2"/>
      <c r="I30" s="9"/>
    </row>
    <row r="31" spans="1:9" x14ac:dyDescent="0.25">
      <c r="A31" s="10"/>
      <c r="B31" s="2"/>
      <c r="C31" s="2"/>
      <c r="E31" s="2"/>
      <c r="F31" s="2"/>
      <c r="G31" s="2"/>
      <c r="H31" s="2"/>
      <c r="I31" s="9"/>
    </row>
    <row r="32" spans="1:9" x14ac:dyDescent="0.25">
      <c r="A32" s="10"/>
      <c r="B32" s="2"/>
      <c r="C32" s="2"/>
      <c r="D32" s="13"/>
      <c r="E32" s="2"/>
      <c r="F32" s="2"/>
      <c r="G32" s="2"/>
      <c r="H32" s="2"/>
      <c r="I32" s="9"/>
    </row>
    <row r="33" spans="1:10" ht="13" thickBot="1" x14ac:dyDescent="0.3">
      <c r="A33" s="14" t="s">
        <v>6</v>
      </c>
      <c r="B33" s="15"/>
      <c r="C33" s="15"/>
      <c r="D33" s="15"/>
      <c r="E33" s="15"/>
      <c r="F33" s="15"/>
      <c r="G33" s="15"/>
      <c r="H33" s="15"/>
      <c r="I33" s="16"/>
    </row>
    <row r="34" spans="1:10" ht="13" thickTop="1" x14ac:dyDescent="0.25"/>
    <row r="35" spans="1:10" ht="13" hidden="1" thickTop="1" x14ac:dyDescent="0.25">
      <c r="A35" s="40" t="s">
        <v>59</v>
      </c>
      <c r="B35" s="41" t="s">
        <v>85</v>
      </c>
      <c r="C35" s="42" t="s">
        <v>86</v>
      </c>
      <c r="D35" s="37" t="s">
        <v>87</v>
      </c>
      <c r="E35" s="36" t="s">
        <v>5</v>
      </c>
      <c r="F35" s="37" t="s">
        <v>58</v>
      </c>
      <c r="G35" s="31"/>
      <c r="H35" s="31"/>
      <c r="I35" s="31"/>
      <c r="J35" s="31"/>
    </row>
    <row r="36" spans="1:10" hidden="1" x14ac:dyDescent="0.25">
      <c r="A36" s="22" t="s">
        <v>7</v>
      </c>
      <c r="B36" s="35">
        <f>0.0019*$B$6^2+0.5197*$B$6+7.4635</f>
        <v>12.8505</v>
      </c>
      <c r="C36" s="43">
        <f>-0.0665*B6^5+1.8177*B6^4-18.399*B6^3+85.748*B6^2-95.029*B6+51.4</f>
        <v>803.91000000000111</v>
      </c>
      <c r="D36" s="45">
        <f>(C36/1000)/((B36/100)^0.5)</f>
        <v>2.2425772804172541</v>
      </c>
      <c r="E36" s="38">
        <v>1</v>
      </c>
      <c r="F36" s="3">
        <v>17</v>
      </c>
      <c r="G36" s="31"/>
      <c r="H36" s="31"/>
      <c r="I36" s="31"/>
      <c r="J36" s="31"/>
    </row>
    <row r="37" spans="1:10" hidden="1" x14ac:dyDescent="0.25">
      <c r="A37" s="23" t="s">
        <v>10</v>
      </c>
      <c r="B37" s="35">
        <f>0.00009*$B$6^2+0.5437*$B$6+15.461</f>
        <v>20.907</v>
      </c>
      <c r="C37" s="43">
        <f>-0.0596*B6^5+1.5003*B6^4-13.844*B6^3+60.634*B6^2-16.993*B6+9</f>
        <v>1101.4699999999996</v>
      </c>
      <c r="D37" s="45">
        <f t="shared" ref="D37:D44" si="0">(C37/1000)/((B37/100)^0.5)</f>
        <v>2.4089446059242281</v>
      </c>
      <c r="E37" s="38">
        <v>2.4500000000000002</v>
      </c>
      <c r="F37" s="3">
        <v>20</v>
      </c>
      <c r="G37" s="31"/>
      <c r="H37" s="31"/>
      <c r="I37" s="31"/>
      <c r="J37" s="31"/>
    </row>
    <row r="38" spans="1:10" hidden="1" x14ac:dyDescent="0.25">
      <c r="A38" s="22" t="s">
        <v>13</v>
      </c>
      <c r="B38" s="35">
        <f>-0.0056*$B$6^2+0.8041*$B$6+7.6745</f>
        <v>15.1555</v>
      </c>
      <c r="C38" s="43">
        <f>-0.1113*B6^5+2.946*B6^4-29.438*B6^3+137.26*B6^2-142.61*B6+72.8</f>
        <v>1264.6999999999998</v>
      </c>
      <c r="D38" s="45">
        <f t="shared" si="0"/>
        <v>3.2486459595883774</v>
      </c>
      <c r="E38" s="38">
        <v>3.6</v>
      </c>
      <c r="F38" s="3">
        <v>23</v>
      </c>
      <c r="G38" s="31"/>
      <c r="H38" s="31"/>
      <c r="I38" s="31"/>
      <c r="J38" s="31"/>
    </row>
    <row r="39" spans="1:10" hidden="1" x14ac:dyDescent="0.25">
      <c r="A39" s="23" t="s">
        <v>16</v>
      </c>
      <c r="B39" s="35">
        <f>1.5599*$B$6+10.421</f>
        <v>26.02</v>
      </c>
      <c r="C39" s="43">
        <f>-0.1373*B6^5+3.5127*B6^4-33.779*B6^3+155.44*B6^2-140.07*B6+80.6</f>
        <v>1841.9</v>
      </c>
      <c r="D39" s="45">
        <f t="shared" si="0"/>
        <v>3.6108745621755309</v>
      </c>
      <c r="E39" s="38">
        <v>4.8</v>
      </c>
      <c r="F39" s="3">
        <v>26</v>
      </c>
      <c r="G39" s="31"/>
      <c r="H39" s="31"/>
      <c r="I39" s="31"/>
      <c r="J39" s="31"/>
    </row>
    <row r="40" spans="1:10" ht="13" hidden="1" thickBot="1" x14ac:dyDescent="0.3">
      <c r="A40" s="22" t="s">
        <v>19</v>
      </c>
      <c r="B40" s="35">
        <f>-0.0338*$B$6^2+1.3606*$B$6+7.0677</f>
        <v>17.293700000000001</v>
      </c>
      <c r="C40" s="43">
        <f>-0.0437*B6^5+1.233*B6^4-15.095*B6^3+90.215*B6^2-23.08*B6+7.6</f>
        <v>1663.3000000000018</v>
      </c>
      <c r="D40" s="45">
        <f t="shared" si="0"/>
        <v>3.9996927158955899</v>
      </c>
      <c r="E40" s="39">
        <v>5.9</v>
      </c>
      <c r="F40" s="4">
        <v>29</v>
      </c>
      <c r="G40" s="31"/>
      <c r="H40" s="31"/>
      <c r="I40" s="31"/>
      <c r="J40" s="31"/>
    </row>
    <row r="41" spans="1:10" ht="13" hidden="1" thickTop="1" x14ac:dyDescent="0.25">
      <c r="A41" s="23" t="s">
        <v>21</v>
      </c>
      <c r="B41" s="35">
        <f>0.0012*$B$6^2+1.8852*$B$6+10.082</f>
        <v>29.054000000000002</v>
      </c>
      <c r="C41" s="43">
        <f>-0.0887*B6^5+2.4692*B6^4-28.466*B6^3+160.03*B6^2-106.97*B6+61.867</f>
        <v>2351.1670000000004</v>
      </c>
      <c r="D41" s="45">
        <f t="shared" si="0"/>
        <v>4.3619482762652977</v>
      </c>
      <c r="E41" s="48">
        <v>7.15</v>
      </c>
      <c r="F41" s="49">
        <v>32</v>
      </c>
      <c r="G41" s="31"/>
      <c r="H41" s="31"/>
      <c r="I41" s="31"/>
      <c r="J41" s="31"/>
    </row>
    <row r="42" spans="1:10" hidden="1" x14ac:dyDescent="0.25">
      <c r="A42" s="22" t="s">
        <v>23</v>
      </c>
      <c r="B42" s="35">
        <f>0.0017*$B$6^2+1.7665*$B$6+12.271</f>
        <v>30.106000000000002</v>
      </c>
      <c r="C42" s="43">
        <f>-0.1964*B6^5+4.6411*B6^4-42.909*B6^3+197.13*B6^2+127.45*B6-69.133</f>
        <v>4780.3670000000002</v>
      </c>
      <c r="D42" s="45">
        <f t="shared" si="0"/>
        <v>8.7123379053320527</v>
      </c>
      <c r="E42" s="48">
        <v>8.3000000000000007</v>
      </c>
      <c r="F42" s="49">
        <v>35</v>
      </c>
      <c r="G42" s="31"/>
      <c r="H42" s="31"/>
      <c r="I42" s="31"/>
      <c r="J42" s="31"/>
    </row>
    <row r="43" spans="1:10" hidden="1" x14ac:dyDescent="0.25">
      <c r="A43" s="23" t="s">
        <v>26</v>
      </c>
      <c r="B43" s="35">
        <f>-0.0035*$B$6^2+1.9776*$B$6+12.58</f>
        <v>32.006</v>
      </c>
      <c r="C43" s="43">
        <f>-0.6024*B6^5+15.985*B6^4-160.63*B6^3+753.2*B6^2-713.97*B6+281.29</f>
        <v>7441.5899999999992</v>
      </c>
      <c r="D43" s="45">
        <f t="shared" si="0"/>
        <v>13.153763771970583</v>
      </c>
      <c r="E43" s="48">
        <v>9.4</v>
      </c>
      <c r="F43" s="49">
        <v>38</v>
      </c>
      <c r="G43" s="31"/>
      <c r="H43" s="31"/>
      <c r="I43" s="31"/>
      <c r="J43" s="31"/>
    </row>
    <row r="44" spans="1:10" ht="13" hidden="1" thickBot="1" x14ac:dyDescent="0.3">
      <c r="A44" s="24" t="s">
        <v>29</v>
      </c>
      <c r="B44" s="35">
        <f>0.024*$B$6^2+2.2707*$B$6+14.549</f>
        <v>39.655999999999999</v>
      </c>
      <c r="C44" s="43">
        <f>-0.3695*B6^5+9.2072*B6^4-90.718*B6^3+424.96*B6^2+369.92*B6-273.13</f>
        <v>10326.070000000002</v>
      </c>
      <c r="D44" s="45">
        <f t="shared" si="0"/>
        <v>16.39761222303899</v>
      </c>
      <c r="E44" s="48"/>
      <c r="F44" s="49"/>
      <c r="G44" s="31"/>
      <c r="H44" s="31"/>
      <c r="I44" s="31"/>
      <c r="J44" s="31"/>
    </row>
    <row r="45" spans="1:10" ht="13" hidden="1" thickTop="1" x14ac:dyDescent="0.25">
      <c r="A45" s="31"/>
      <c r="B45" s="31"/>
      <c r="C45" s="31"/>
      <c r="D45" s="31"/>
      <c r="E45" s="51"/>
      <c r="F45" s="52"/>
      <c r="G45" s="31"/>
      <c r="H45" s="31"/>
      <c r="I45" s="31"/>
      <c r="J45" s="31"/>
    </row>
    <row r="46" spans="1:10" hidden="1" x14ac:dyDescent="0.25">
      <c r="A46" s="31"/>
      <c r="B46" s="31"/>
      <c r="C46" s="31"/>
      <c r="D46" s="31"/>
      <c r="E46" s="51"/>
      <c r="F46" s="52"/>
      <c r="G46" s="31"/>
      <c r="H46" s="31"/>
      <c r="I46" s="31"/>
      <c r="J46" s="31"/>
    </row>
    <row r="47" spans="1:10" hidden="1" x14ac:dyDescent="0.25">
      <c r="A47" s="31"/>
      <c r="B47" s="31"/>
      <c r="C47" s="31"/>
      <c r="D47" s="31"/>
      <c r="E47" s="51"/>
      <c r="F47" s="52"/>
      <c r="G47" s="31"/>
      <c r="H47" s="31"/>
      <c r="I47" s="31"/>
      <c r="J47" s="31"/>
    </row>
    <row r="48" spans="1:10" hidden="1" x14ac:dyDescent="0.25">
      <c r="A48" s="31"/>
      <c r="B48" s="31"/>
      <c r="C48" s="31"/>
      <c r="D48" s="31"/>
      <c r="E48" s="51"/>
      <c r="F48" s="52"/>
      <c r="G48" s="31"/>
      <c r="H48" s="31"/>
      <c r="I48" s="31"/>
      <c r="J48" s="31"/>
    </row>
    <row r="49" spans="1:10" hidden="1" x14ac:dyDescent="0.25">
      <c r="A49" s="31"/>
      <c r="B49" s="31"/>
      <c r="C49" s="31"/>
      <c r="D49" s="31"/>
      <c r="E49" s="51"/>
      <c r="F49" s="52"/>
      <c r="G49" s="31"/>
      <c r="H49" s="31"/>
      <c r="I49" s="31"/>
      <c r="J49" s="31"/>
    </row>
    <row r="50" spans="1:10" hidden="1" x14ac:dyDescent="0.25">
      <c r="A50" s="31"/>
      <c r="B50" s="31"/>
      <c r="C50" s="31"/>
      <c r="D50" s="31"/>
      <c r="E50" s="51"/>
      <c r="F50" s="52"/>
      <c r="G50" s="31"/>
      <c r="H50" s="31"/>
      <c r="I50" s="31"/>
      <c r="J50" s="31"/>
    </row>
    <row r="51" spans="1:10" hidden="1" x14ac:dyDescent="0.25">
      <c r="A51" s="31"/>
      <c r="B51" s="31"/>
      <c r="C51" s="31"/>
      <c r="D51" s="31"/>
      <c r="E51" s="51"/>
      <c r="F51" s="52"/>
      <c r="G51" s="31"/>
      <c r="H51" s="31"/>
      <c r="I51" s="31"/>
      <c r="J51" s="31"/>
    </row>
    <row r="52" spans="1:10" hidden="1" x14ac:dyDescent="0.25">
      <c r="A52" s="31"/>
      <c r="B52" s="31"/>
      <c r="C52" s="31"/>
      <c r="D52" s="31"/>
      <c r="E52" s="51"/>
      <c r="F52" s="52"/>
      <c r="G52" s="31"/>
      <c r="H52" s="31"/>
      <c r="I52" s="31"/>
      <c r="J52" s="31"/>
    </row>
    <row r="53" spans="1:10" hidden="1" x14ac:dyDescent="0.25">
      <c r="A53" s="31"/>
      <c r="B53" s="31"/>
      <c r="C53" s="31"/>
      <c r="D53" s="31"/>
      <c r="E53" s="51"/>
      <c r="F53" s="52"/>
      <c r="G53" s="31"/>
      <c r="H53" s="31"/>
      <c r="I53" s="31"/>
      <c r="J53" s="31"/>
    </row>
    <row r="54" spans="1:10" hidden="1" x14ac:dyDescent="0.25">
      <c r="A54" s="31"/>
      <c r="B54" s="31"/>
      <c r="C54" s="31"/>
      <c r="D54" s="31"/>
      <c r="E54" s="31"/>
      <c r="F54" s="31"/>
      <c r="G54" s="31"/>
      <c r="H54" s="31"/>
      <c r="I54" s="31"/>
      <c r="J54" s="31"/>
    </row>
    <row r="55" spans="1:10" x14ac:dyDescent="0.25">
      <c r="A55" s="31"/>
      <c r="B55" s="31"/>
      <c r="C55" s="31"/>
      <c r="D55" s="31"/>
      <c r="E55" s="31"/>
      <c r="F55" s="31"/>
      <c r="G55" s="31"/>
      <c r="H55" s="31"/>
      <c r="I55" s="31"/>
      <c r="J55" s="31"/>
    </row>
    <row r="56" spans="1:10" x14ac:dyDescent="0.25">
      <c r="A56" s="31"/>
      <c r="B56" s="31"/>
      <c r="C56" s="31"/>
      <c r="D56" s="31"/>
      <c r="E56" s="31"/>
      <c r="F56" s="31"/>
      <c r="G56" s="31"/>
      <c r="H56" s="31"/>
      <c r="I56" s="31"/>
      <c r="J56" s="31"/>
    </row>
    <row r="57" spans="1:10" x14ac:dyDescent="0.25">
      <c r="A57" s="31"/>
      <c r="B57" s="31"/>
      <c r="C57" s="31"/>
      <c r="D57" s="31"/>
      <c r="E57" s="31"/>
      <c r="F57" s="31"/>
      <c r="G57" s="31"/>
      <c r="H57" s="31"/>
      <c r="I57" s="31"/>
      <c r="J57" s="31"/>
    </row>
    <row r="58" spans="1:10" x14ac:dyDescent="0.25">
      <c r="A58" s="31"/>
      <c r="B58" s="31"/>
      <c r="C58" s="31"/>
      <c r="D58" s="31"/>
      <c r="E58" s="31"/>
      <c r="F58" s="31"/>
      <c r="G58" s="31"/>
      <c r="H58" s="31"/>
      <c r="I58" s="31"/>
      <c r="J58" s="31"/>
    </row>
    <row r="59" spans="1:10" x14ac:dyDescent="0.25">
      <c r="A59" s="31"/>
      <c r="B59" s="31"/>
      <c r="C59" s="31"/>
      <c r="D59" s="31"/>
      <c r="E59" s="31"/>
      <c r="F59" s="31"/>
      <c r="G59" s="31"/>
      <c r="H59" s="31"/>
      <c r="I59" s="31"/>
      <c r="J59" s="31"/>
    </row>
    <row r="60" spans="1:10" x14ac:dyDescent="0.25">
      <c r="A60" s="31"/>
      <c r="B60" s="31"/>
      <c r="C60" s="31"/>
      <c r="D60" s="31"/>
      <c r="E60" s="31"/>
      <c r="F60" s="31"/>
      <c r="G60" s="31"/>
      <c r="H60" s="31"/>
      <c r="I60" s="31"/>
      <c r="J60" s="31"/>
    </row>
    <row r="61" spans="1:10" x14ac:dyDescent="0.25">
      <c r="A61" s="31"/>
      <c r="B61" s="31"/>
      <c r="C61" s="31"/>
      <c r="D61" s="31"/>
      <c r="E61" s="31"/>
      <c r="F61" s="31"/>
      <c r="G61" s="31"/>
      <c r="H61" s="31"/>
      <c r="I61" s="31"/>
      <c r="J61" s="31"/>
    </row>
    <row r="62" spans="1:10" x14ac:dyDescent="0.25">
      <c r="A62" s="31"/>
      <c r="B62" s="31"/>
      <c r="C62" s="31"/>
      <c r="D62" s="31"/>
      <c r="E62" s="31"/>
      <c r="F62" s="31"/>
      <c r="G62" s="31"/>
      <c r="H62" s="31"/>
      <c r="I62" s="31"/>
      <c r="J62" s="31"/>
    </row>
    <row r="63" spans="1:10" x14ac:dyDescent="0.25">
      <c r="A63" s="31"/>
      <c r="B63" s="31"/>
      <c r="C63" s="31"/>
      <c r="D63" s="31"/>
      <c r="E63" s="31"/>
      <c r="F63" s="31"/>
      <c r="G63" s="31"/>
      <c r="H63" s="31"/>
      <c r="I63" s="31"/>
      <c r="J63" s="31"/>
    </row>
    <row r="64" spans="1:10" x14ac:dyDescent="0.25">
      <c r="A64" s="31"/>
      <c r="B64" s="31"/>
      <c r="C64" s="31"/>
      <c r="D64" s="31"/>
      <c r="E64" s="31"/>
      <c r="F64" s="31"/>
      <c r="G64" s="31"/>
      <c r="H64" s="31"/>
      <c r="I64" s="31"/>
      <c r="J64" s="31"/>
    </row>
    <row r="65" spans="1:10" x14ac:dyDescent="0.25">
      <c r="A65" s="31"/>
      <c r="B65" s="31"/>
      <c r="C65" s="31"/>
      <c r="D65" s="31"/>
      <c r="E65" s="31"/>
      <c r="F65" s="31"/>
      <c r="G65" s="31"/>
      <c r="H65" s="31"/>
      <c r="I65" s="31"/>
      <c r="J65" s="31"/>
    </row>
    <row r="66" spans="1:10" x14ac:dyDescent="0.25">
      <c r="A66" s="31"/>
      <c r="B66" s="31"/>
      <c r="C66" s="31"/>
      <c r="D66" s="31"/>
      <c r="E66" s="31"/>
      <c r="F66" s="31"/>
      <c r="G66" s="31"/>
      <c r="H66" s="31"/>
      <c r="I66" s="31"/>
      <c r="J66" s="31"/>
    </row>
    <row r="67" spans="1:10" x14ac:dyDescent="0.25">
      <c r="A67" s="31"/>
      <c r="B67" s="31"/>
      <c r="C67" s="31"/>
      <c r="D67" s="31"/>
      <c r="E67" s="31"/>
      <c r="F67" s="31"/>
      <c r="G67" s="31"/>
      <c r="H67" s="31"/>
      <c r="I67" s="31"/>
      <c r="J67" s="31"/>
    </row>
    <row r="68" spans="1:10" x14ac:dyDescent="0.25">
      <c r="A68" s="31"/>
      <c r="B68" s="31"/>
      <c r="C68" s="31"/>
      <c r="D68" s="31"/>
      <c r="E68" s="31"/>
      <c r="F68" s="31"/>
      <c r="G68" s="31"/>
      <c r="H68" s="31"/>
      <c r="I68" s="31"/>
      <c r="J68" s="31"/>
    </row>
    <row r="69" spans="1:10" x14ac:dyDescent="0.25">
      <c r="A69" s="31"/>
      <c r="B69" s="31"/>
      <c r="C69" s="31"/>
      <c r="D69" s="31"/>
      <c r="E69" s="31"/>
      <c r="F69" s="31"/>
      <c r="G69" s="31"/>
      <c r="H69" s="31"/>
      <c r="I69" s="31"/>
      <c r="J69" s="31"/>
    </row>
    <row r="70" spans="1:10" x14ac:dyDescent="0.25">
      <c r="A70" s="31"/>
      <c r="B70" s="31"/>
      <c r="C70" s="31"/>
      <c r="D70" s="31"/>
      <c r="E70" s="31"/>
      <c r="F70" s="31"/>
      <c r="G70" s="31"/>
      <c r="H70" s="31"/>
      <c r="I70" s="31"/>
      <c r="J70" s="31"/>
    </row>
    <row r="71" spans="1:10" x14ac:dyDescent="0.25">
      <c r="A71" s="31"/>
      <c r="B71" s="31"/>
      <c r="C71" s="31"/>
      <c r="D71" s="31"/>
      <c r="E71" s="31"/>
      <c r="F71" s="31"/>
      <c r="G71" s="31"/>
      <c r="H71" s="31"/>
      <c r="I71" s="31"/>
      <c r="J71" s="31"/>
    </row>
    <row r="72" spans="1:10" x14ac:dyDescent="0.25">
      <c r="A72" s="31"/>
      <c r="B72" s="31"/>
      <c r="C72" s="31"/>
      <c r="D72" s="31"/>
      <c r="E72" s="31"/>
      <c r="F72" s="31"/>
      <c r="G72" s="31"/>
      <c r="H72" s="31"/>
      <c r="I72" s="31"/>
      <c r="J72" s="31"/>
    </row>
    <row r="73" spans="1:10" x14ac:dyDescent="0.25">
      <c r="A73" s="31"/>
      <c r="B73" s="31"/>
      <c r="C73" s="31"/>
      <c r="D73" s="31"/>
      <c r="E73" s="31"/>
      <c r="F73" s="31"/>
      <c r="G73" s="31"/>
      <c r="H73" s="31"/>
      <c r="I73" s="31"/>
      <c r="J73" s="31"/>
    </row>
  </sheetData>
  <sheetProtection algorithmName="SHA-512" hashValue="ikCaYWAT8GSM0eHkva8dxWlZy4E3rogSAAryICfcqvlA0quoL+RvRoFlc96bGiVwI34t+PZaAL0WCa90aMwKfg==" saltValue="G4+MTx+2FQl8k05amZb1ng==" spinCount="100000" sheet="1" objects="1" scenarios="1"/>
  <mergeCells count="3">
    <mergeCell ref="A9:A10"/>
    <mergeCell ref="B9:C9"/>
    <mergeCell ref="A1:H1"/>
  </mergeCells>
  <phoneticPr fontId="0" type="noConversion"/>
  <conditionalFormatting sqref="D21">
    <cfRule type="cellIs" dxfId="111" priority="10" operator="equal">
      <formula>"Outside DP-range"</formula>
    </cfRule>
    <cfRule type="cellIs" dxfId="110" priority="11" operator="equal">
      <formula>"Under DP område"</formula>
    </cfRule>
  </conditionalFormatting>
  <conditionalFormatting sqref="D11">
    <cfRule type="cellIs" dxfId="109" priority="9" operator="lessThan">
      <formula>$C$36</formula>
    </cfRule>
  </conditionalFormatting>
  <conditionalFormatting sqref="D12">
    <cfRule type="cellIs" dxfId="108" priority="8" operator="lessThan">
      <formula>$C$37</formula>
    </cfRule>
  </conditionalFormatting>
  <conditionalFormatting sqref="D13">
    <cfRule type="cellIs" dxfId="107" priority="7" operator="lessThan">
      <formula>$C$38</formula>
    </cfRule>
  </conditionalFormatting>
  <conditionalFormatting sqref="D14">
    <cfRule type="cellIs" dxfId="106" priority="6" operator="lessThan">
      <formula>$C$39</formula>
    </cfRule>
  </conditionalFormatting>
  <conditionalFormatting sqref="D15">
    <cfRule type="cellIs" dxfId="105" priority="5" operator="lessThan">
      <formula>$C$40</formula>
    </cfRule>
  </conditionalFormatting>
  <conditionalFormatting sqref="D16">
    <cfRule type="cellIs" dxfId="104" priority="4" operator="lessThan">
      <formula>$C$41</formula>
    </cfRule>
  </conditionalFormatting>
  <conditionalFormatting sqref="D17">
    <cfRule type="cellIs" dxfId="103" priority="3" operator="lessThan">
      <formula>$C$42</formula>
    </cfRule>
  </conditionalFormatting>
  <conditionalFormatting sqref="D18">
    <cfRule type="cellIs" dxfId="102" priority="2" operator="lessThan">
      <formula>$C$43</formula>
    </cfRule>
  </conditionalFormatting>
  <conditionalFormatting sqref="D19">
    <cfRule type="cellIs" dxfId="101" priority="1" operator="lessThan">
      <formula>$C$44</formula>
    </cfRule>
  </conditionalFormatting>
  <pageMargins left="0.59055118110236227" right="0.39370078740157483" top="0.98425196850393704" bottom="0.98425196850393704" header="0.51181102362204722" footer="0.51181102362204722"/>
  <pageSetup paperSize="9" scale="105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8"/>
  <sheetViews>
    <sheetView showGridLines="0" tabSelected="1" zoomScale="90" zoomScaleNormal="90" workbookViewId="0">
      <selection activeCell="I54" sqref="I54"/>
    </sheetView>
  </sheetViews>
  <sheetFormatPr baseColWidth="10" defaultColWidth="8.81640625" defaultRowHeight="12.5" x14ac:dyDescent="0.25"/>
  <cols>
    <col min="1" max="1" width="23.7265625" customWidth="1"/>
    <col min="2" max="2" width="14.26953125" customWidth="1"/>
    <col min="3" max="3" width="17.81640625" bestFit="1" customWidth="1"/>
    <col min="4" max="4" width="15.7265625" customWidth="1"/>
    <col min="5" max="8" width="10.7265625" customWidth="1"/>
    <col min="9" max="9" width="20.453125" bestFit="1" customWidth="1"/>
    <col min="13" max="14" width="20.26953125" bestFit="1" customWidth="1"/>
  </cols>
  <sheetData>
    <row r="1" spans="1:10" ht="20.5" thickTop="1" x14ac:dyDescent="0.4">
      <c r="A1" s="278" t="s">
        <v>405</v>
      </c>
      <c r="B1" s="279"/>
      <c r="C1" s="279"/>
      <c r="D1" s="279"/>
      <c r="E1" s="279"/>
      <c r="F1" s="279"/>
      <c r="G1" s="279"/>
      <c r="H1" s="279"/>
      <c r="I1" s="142"/>
      <c r="J1" s="1"/>
    </row>
    <row r="2" spans="1:10" ht="20.5" thickBot="1" x14ac:dyDescent="0.45">
      <c r="A2" s="280" t="s">
        <v>392</v>
      </c>
      <c r="B2" s="281"/>
      <c r="C2" s="281"/>
      <c r="D2" s="281"/>
      <c r="E2" s="281"/>
      <c r="F2" s="281"/>
      <c r="G2" s="281"/>
      <c r="H2" s="281"/>
      <c r="I2" s="29"/>
      <c r="J2" s="1"/>
    </row>
    <row r="3" spans="1:10" ht="13.5" thickTop="1" x14ac:dyDescent="0.3">
      <c r="A3" s="6"/>
      <c r="B3" s="21"/>
      <c r="C3" s="21"/>
      <c r="D3" s="7"/>
      <c r="E3" s="7"/>
      <c r="F3" s="7"/>
      <c r="G3" s="7"/>
      <c r="H3" s="7"/>
      <c r="I3" s="8"/>
    </row>
    <row r="4" spans="1:10" ht="13" x14ac:dyDescent="0.3">
      <c r="A4" s="10"/>
      <c r="B4" s="5" t="s">
        <v>1</v>
      </c>
      <c r="C4" s="2"/>
      <c r="D4" s="2"/>
      <c r="E4" s="2"/>
      <c r="F4" s="2"/>
      <c r="G4" s="2"/>
      <c r="H4" s="2"/>
      <c r="I4" s="9"/>
    </row>
    <row r="5" spans="1:10" ht="13" x14ac:dyDescent="0.3">
      <c r="A5" s="34" t="s">
        <v>394</v>
      </c>
      <c r="B5" s="199">
        <v>100</v>
      </c>
      <c r="C5" s="12" t="s">
        <v>252</v>
      </c>
      <c r="D5" s="2"/>
      <c r="E5" s="2"/>
      <c r="F5" s="2"/>
      <c r="G5" s="2"/>
      <c r="H5" s="2"/>
      <c r="I5" s="9"/>
    </row>
    <row r="6" spans="1:10" ht="13" x14ac:dyDescent="0.3">
      <c r="A6" s="34"/>
      <c r="B6" s="2"/>
      <c r="C6" s="12"/>
      <c r="D6" s="2"/>
      <c r="E6" s="2"/>
      <c r="F6" s="11"/>
      <c r="G6" s="2"/>
      <c r="H6" s="2"/>
      <c r="I6" s="9"/>
    </row>
    <row r="7" spans="1:10" ht="13" x14ac:dyDescent="0.3">
      <c r="A7" s="10"/>
      <c r="B7" s="2"/>
      <c r="C7" s="2"/>
      <c r="D7" s="2"/>
      <c r="E7" s="2"/>
      <c r="F7" s="11"/>
      <c r="G7" s="2"/>
      <c r="H7" s="2"/>
      <c r="I7" s="9"/>
    </row>
    <row r="8" spans="1:10" ht="13" thickBot="1" x14ac:dyDescent="0.3">
      <c r="A8" s="10"/>
      <c r="B8" s="2"/>
      <c r="C8" s="2"/>
      <c r="D8" s="2"/>
      <c r="E8" s="2"/>
      <c r="F8" s="2"/>
      <c r="G8" s="2"/>
      <c r="H8" s="2"/>
      <c r="I8" s="9"/>
    </row>
    <row r="9" spans="1:10" ht="13.5" thickTop="1" x14ac:dyDescent="0.3">
      <c r="A9" s="286" t="s">
        <v>0</v>
      </c>
      <c r="B9" s="237" t="s">
        <v>395</v>
      </c>
      <c r="C9" s="238" t="s">
        <v>338</v>
      </c>
      <c r="D9" s="2"/>
      <c r="E9" s="2"/>
      <c r="F9" s="2"/>
      <c r="G9" s="2"/>
      <c r="H9" s="2"/>
      <c r="I9" s="9"/>
    </row>
    <row r="10" spans="1:10" ht="13" x14ac:dyDescent="0.3">
      <c r="A10" s="287"/>
      <c r="B10" s="119" t="s">
        <v>386</v>
      </c>
      <c r="C10" s="211" t="s">
        <v>75</v>
      </c>
      <c r="D10" s="2"/>
      <c r="E10" s="2"/>
      <c r="F10" s="2"/>
      <c r="G10" s="2"/>
      <c r="H10" s="2"/>
      <c r="I10" s="9"/>
    </row>
    <row r="11" spans="1:10" ht="13" x14ac:dyDescent="0.3">
      <c r="A11" s="214" t="s">
        <v>397</v>
      </c>
      <c r="B11" s="43">
        <v>88</v>
      </c>
      <c r="C11" s="55">
        <f>($B$5^0.5*B11)*0.1</f>
        <v>88</v>
      </c>
      <c r="D11" s="2"/>
      <c r="E11" s="2"/>
      <c r="F11" s="2"/>
      <c r="G11" s="2"/>
      <c r="H11" s="2"/>
      <c r="I11" s="9"/>
    </row>
    <row r="12" spans="1:10" ht="13" x14ac:dyDescent="0.3">
      <c r="A12" s="239" t="s">
        <v>398</v>
      </c>
      <c r="B12" s="43">
        <v>116</v>
      </c>
      <c r="C12" s="55">
        <f t="shared" ref="C12:C18" si="0">($B$5^0.5*B12)*0.1</f>
        <v>116</v>
      </c>
      <c r="D12" s="2"/>
      <c r="E12" s="2"/>
      <c r="F12" s="2"/>
      <c r="G12" s="2"/>
      <c r="H12" s="2"/>
      <c r="I12" s="9"/>
    </row>
    <row r="13" spans="1:10" ht="13" x14ac:dyDescent="0.3">
      <c r="A13" s="214" t="s">
        <v>399</v>
      </c>
      <c r="B13" s="43">
        <v>205</v>
      </c>
      <c r="C13" s="55">
        <f t="shared" si="0"/>
        <v>205</v>
      </c>
      <c r="D13" s="2"/>
      <c r="E13" s="2"/>
      <c r="F13" s="2"/>
      <c r="G13" s="2"/>
      <c r="H13" s="2"/>
      <c r="I13" s="9"/>
    </row>
    <row r="14" spans="1:10" ht="13" x14ac:dyDescent="0.3">
      <c r="A14" s="239" t="s">
        <v>400</v>
      </c>
      <c r="B14" s="43">
        <v>324</v>
      </c>
      <c r="C14" s="55">
        <f t="shared" si="0"/>
        <v>324</v>
      </c>
      <c r="D14" s="2"/>
      <c r="E14" s="2"/>
      <c r="F14" s="2"/>
      <c r="G14" s="2"/>
      <c r="H14" s="2"/>
      <c r="I14" s="9"/>
    </row>
    <row r="15" spans="1:10" ht="13" x14ac:dyDescent="0.3">
      <c r="A15" s="214" t="s">
        <v>401</v>
      </c>
      <c r="B15" s="43">
        <v>449</v>
      </c>
      <c r="C15" s="55">
        <f t="shared" si="0"/>
        <v>449</v>
      </c>
      <c r="D15" s="2"/>
      <c r="E15" s="2"/>
      <c r="F15" s="2"/>
      <c r="G15" s="2"/>
      <c r="H15" s="2"/>
      <c r="I15" s="9"/>
    </row>
    <row r="16" spans="1:10" ht="13" x14ac:dyDescent="0.3">
      <c r="A16" s="239" t="s">
        <v>402</v>
      </c>
      <c r="B16" s="43">
        <v>865</v>
      </c>
      <c r="C16" s="55">
        <f t="shared" si="0"/>
        <v>865</v>
      </c>
      <c r="D16" s="2"/>
      <c r="E16" s="2"/>
      <c r="F16" s="2"/>
      <c r="G16" s="2"/>
      <c r="H16" s="2"/>
      <c r="I16" s="9"/>
    </row>
    <row r="17" spans="1:10" ht="13" x14ac:dyDescent="0.3">
      <c r="A17" s="214" t="s">
        <v>403</v>
      </c>
      <c r="B17" s="43">
        <v>1250</v>
      </c>
      <c r="C17" s="55">
        <f t="shared" si="0"/>
        <v>1250</v>
      </c>
      <c r="D17" s="2"/>
      <c r="E17" s="2"/>
      <c r="F17" s="2"/>
      <c r="G17" s="2"/>
      <c r="H17" s="2"/>
      <c r="I17" s="9"/>
    </row>
    <row r="18" spans="1:10" ht="13.5" thickBot="1" x14ac:dyDescent="0.35">
      <c r="A18" s="240" t="s">
        <v>404</v>
      </c>
      <c r="B18" s="44">
        <v>1620</v>
      </c>
      <c r="C18" s="56">
        <f t="shared" si="0"/>
        <v>1620</v>
      </c>
      <c r="D18" s="2"/>
      <c r="E18" s="2"/>
      <c r="F18" s="2"/>
      <c r="G18" s="2"/>
      <c r="H18" s="2"/>
      <c r="I18" s="9"/>
    </row>
    <row r="19" spans="1:10" ht="13" thickTop="1" x14ac:dyDescent="0.25">
      <c r="A19" s="10"/>
      <c r="B19" s="2"/>
      <c r="C19" s="2"/>
      <c r="D19" s="2"/>
      <c r="E19" s="2"/>
      <c r="F19" s="2"/>
      <c r="G19" s="2"/>
      <c r="H19" s="2"/>
      <c r="I19" s="9"/>
    </row>
    <row r="20" spans="1:10" x14ac:dyDescent="0.25">
      <c r="A20" s="10"/>
      <c r="B20" s="2"/>
      <c r="C20" s="2"/>
      <c r="D20" s="2"/>
      <c r="E20" s="2"/>
      <c r="F20" s="2"/>
      <c r="G20" s="2"/>
      <c r="H20" s="2"/>
      <c r="I20" s="9"/>
    </row>
    <row r="21" spans="1:10" x14ac:dyDescent="0.25">
      <c r="A21" s="10"/>
      <c r="B21" s="2"/>
      <c r="C21" s="2"/>
      <c r="D21" s="2"/>
      <c r="E21" s="2"/>
      <c r="F21" s="2"/>
      <c r="G21" s="2"/>
      <c r="H21" s="2"/>
      <c r="I21" s="9"/>
    </row>
    <row r="22" spans="1:10" x14ac:dyDescent="0.25">
      <c r="A22" s="10"/>
      <c r="B22" s="2"/>
      <c r="C22" s="2"/>
      <c r="D22" s="2"/>
      <c r="E22" s="2"/>
      <c r="F22" s="2"/>
      <c r="G22" s="2"/>
      <c r="H22" s="2"/>
      <c r="I22" s="9"/>
    </row>
    <row r="23" spans="1:10" ht="13" thickBot="1" x14ac:dyDescent="0.3">
      <c r="A23" s="14"/>
      <c r="B23" s="15"/>
      <c r="C23" s="15"/>
      <c r="D23" s="15"/>
      <c r="E23" s="15"/>
      <c r="F23" s="15"/>
      <c r="G23" s="15"/>
      <c r="H23" s="15"/>
      <c r="I23" s="16"/>
    </row>
    <row r="24" spans="1:10" ht="13.5" thickTop="1" thickBot="1" x14ac:dyDescent="0.3">
      <c r="A24" s="241"/>
      <c r="B24" s="241"/>
      <c r="C24" s="241"/>
      <c r="D24" s="241"/>
      <c r="E24" s="241"/>
      <c r="F24" s="241"/>
      <c r="G24" s="241"/>
      <c r="H24" s="241"/>
      <c r="I24" s="241"/>
      <c r="J24" s="241"/>
    </row>
    <row r="25" spans="1:10" ht="20.5" thickTop="1" x14ac:dyDescent="0.4">
      <c r="A25" s="278" t="s">
        <v>405</v>
      </c>
      <c r="B25" s="279"/>
      <c r="C25" s="279"/>
      <c r="D25" s="279"/>
      <c r="E25" s="279"/>
      <c r="F25" s="279"/>
      <c r="G25" s="279"/>
      <c r="H25" s="279"/>
      <c r="I25" s="142"/>
      <c r="J25" s="241"/>
    </row>
    <row r="26" spans="1:10" ht="20.5" thickBot="1" x14ac:dyDescent="0.45">
      <c r="A26" s="280" t="s">
        <v>393</v>
      </c>
      <c r="B26" s="281"/>
      <c r="C26" s="281"/>
      <c r="D26" s="281"/>
      <c r="E26" s="281"/>
      <c r="F26" s="281"/>
      <c r="G26" s="281"/>
      <c r="H26" s="281"/>
      <c r="I26" s="29"/>
      <c r="J26" s="241"/>
    </row>
    <row r="27" spans="1:10" ht="13.5" thickTop="1" x14ac:dyDescent="0.3">
      <c r="A27" s="6"/>
      <c r="B27" s="21"/>
      <c r="C27" s="21"/>
      <c r="D27" s="7"/>
      <c r="E27" s="7"/>
      <c r="F27" s="7"/>
      <c r="G27" s="7"/>
      <c r="H27" s="7"/>
      <c r="I27" s="8"/>
      <c r="J27" s="241"/>
    </row>
    <row r="28" spans="1:10" ht="13" x14ac:dyDescent="0.3">
      <c r="A28" s="10"/>
      <c r="B28" s="5" t="s">
        <v>1</v>
      </c>
      <c r="C28" s="2"/>
      <c r="D28" s="2"/>
      <c r="E28" s="2"/>
      <c r="F28" s="2"/>
      <c r="G28" s="2"/>
      <c r="H28" s="2"/>
      <c r="I28" s="9"/>
      <c r="J28" s="241"/>
    </row>
    <row r="29" spans="1:10" ht="13" x14ac:dyDescent="0.3">
      <c r="A29" s="34" t="s">
        <v>396</v>
      </c>
      <c r="B29" s="199">
        <v>100</v>
      </c>
      <c r="C29" s="12" t="s">
        <v>342</v>
      </c>
      <c r="D29" s="2"/>
      <c r="E29" s="2"/>
      <c r="F29" s="2"/>
      <c r="G29" s="2"/>
      <c r="H29" s="2"/>
      <c r="I29" s="9"/>
      <c r="J29" s="241"/>
    </row>
    <row r="30" spans="1:10" ht="13" x14ac:dyDescent="0.3">
      <c r="A30" s="34"/>
      <c r="B30" s="2"/>
      <c r="C30" s="12"/>
      <c r="D30" s="2"/>
      <c r="E30" s="2"/>
      <c r="F30" s="11"/>
      <c r="G30" s="2"/>
      <c r="H30" s="2"/>
      <c r="I30" s="9"/>
      <c r="J30" s="241"/>
    </row>
    <row r="31" spans="1:10" ht="13" x14ac:dyDescent="0.3">
      <c r="A31" s="10"/>
      <c r="B31" s="2"/>
      <c r="C31" s="2"/>
      <c r="D31" s="2"/>
      <c r="E31" s="2"/>
      <c r="F31" s="11"/>
      <c r="G31" s="2"/>
      <c r="H31" s="2"/>
      <c r="I31" s="9"/>
      <c r="J31" s="241"/>
    </row>
    <row r="32" spans="1:10" ht="13" thickBot="1" x14ac:dyDescent="0.3">
      <c r="A32" s="10"/>
      <c r="B32" s="2"/>
      <c r="C32" s="2"/>
      <c r="D32" s="2"/>
      <c r="E32" s="2"/>
      <c r="F32" s="2"/>
      <c r="G32" s="2"/>
      <c r="H32" s="2"/>
      <c r="I32" s="9"/>
      <c r="J32" s="241"/>
    </row>
    <row r="33" spans="1:10" ht="13.5" thickTop="1" x14ac:dyDescent="0.3">
      <c r="A33" s="286" t="s">
        <v>0</v>
      </c>
      <c r="B33" s="237" t="s">
        <v>384</v>
      </c>
      <c r="C33" s="238" t="s">
        <v>385</v>
      </c>
      <c r="D33" s="2"/>
      <c r="E33" s="2"/>
      <c r="F33" s="2"/>
      <c r="G33" s="2"/>
      <c r="H33" s="2"/>
      <c r="I33" s="9"/>
      <c r="J33" s="241"/>
    </row>
    <row r="34" spans="1:10" ht="13" x14ac:dyDescent="0.3">
      <c r="A34" s="287"/>
      <c r="B34" s="119" t="s">
        <v>386</v>
      </c>
      <c r="C34" s="211" t="s">
        <v>391</v>
      </c>
      <c r="D34" s="2"/>
      <c r="E34" s="2"/>
      <c r="F34" s="2"/>
      <c r="G34" s="2"/>
      <c r="H34" s="2"/>
      <c r="I34" s="9"/>
      <c r="J34" s="241"/>
    </row>
    <row r="35" spans="1:10" ht="13" x14ac:dyDescent="0.3">
      <c r="A35" s="214" t="s">
        <v>397</v>
      </c>
      <c r="B35" s="43">
        <v>88</v>
      </c>
      <c r="C35" s="219">
        <f>((($B$29/1)/B35)^2)*100</f>
        <v>129.1322314049587</v>
      </c>
      <c r="D35" s="2"/>
      <c r="E35" s="2"/>
      <c r="F35" s="2"/>
      <c r="G35" s="2"/>
      <c r="H35" s="2"/>
      <c r="I35" s="9"/>
      <c r="J35" s="241"/>
    </row>
    <row r="36" spans="1:10" ht="13" x14ac:dyDescent="0.3">
      <c r="A36" s="239" t="s">
        <v>398</v>
      </c>
      <c r="B36" s="43">
        <v>116</v>
      </c>
      <c r="C36" s="219">
        <f t="shared" ref="C36:C42" si="1">((($B$29/1)/B36)^2)*100</f>
        <v>74.316290130796659</v>
      </c>
      <c r="D36" s="2"/>
      <c r="E36" s="2"/>
      <c r="F36" s="2"/>
      <c r="G36" s="2"/>
      <c r="H36" s="2"/>
      <c r="I36" s="9"/>
      <c r="J36" s="241"/>
    </row>
    <row r="37" spans="1:10" ht="13" x14ac:dyDescent="0.3">
      <c r="A37" s="214" t="s">
        <v>399</v>
      </c>
      <c r="B37" s="43">
        <v>205</v>
      </c>
      <c r="C37" s="219">
        <f t="shared" si="1"/>
        <v>23.795359904818557</v>
      </c>
      <c r="D37" s="2"/>
      <c r="E37" s="2"/>
      <c r="F37" s="2"/>
      <c r="G37" s="2"/>
      <c r="H37" s="2"/>
      <c r="I37" s="9"/>
      <c r="J37" s="241"/>
    </row>
    <row r="38" spans="1:10" ht="13" x14ac:dyDescent="0.3">
      <c r="A38" s="239" t="s">
        <v>400</v>
      </c>
      <c r="B38" s="43">
        <v>324</v>
      </c>
      <c r="C38" s="219">
        <f t="shared" si="1"/>
        <v>9.5259868922420345</v>
      </c>
      <c r="D38" s="2"/>
      <c r="E38" s="2"/>
      <c r="F38" s="2"/>
      <c r="G38" s="2"/>
      <c r="H38" s="2"/>
      <c r="I38" s="9"/>
    </row>
    <row r="39" spans="1:10" ht="13" x14ac:dyDescent="0.3">
      <c r="A39" s="214" t="s">
        <v>401</v>
      </c>
      <c r="B39" s="43">
        <v>449</v>
      </c>
      <c r="C39" s="219">
        <f t="shared" si="1"/>
        <v>4.9602928556902004</v>
      </c>
      <c r="D39" s="2"/>
      <c r="E39" s="2"/>
      <c r="F39" s="2"/>
      <c r="G39" s="2"/>
      <c r="H39" s="2"/>
      <c r="I39" s="9"/>
    </row>
    <row r="40" spans="1:10" ht="13" x14ac:dyDescent="0.3">
      <c r="A40" s="239" t="s">
        <v>402</v>
      </c>
      <c r="B40" s="43">
        <v>865</v>
      </c>
      <c r="C40" s="219">
        <f t="shared" si="1"/>
        <v>1.3364963747535834</v>
      </c>
      <c r="D40" s="2"/>
      <c r="E40" s="2"/>
      <c r="F40" s="2"/>
      <c r="G40" s="2"/>
      <c r="H40" s="2"/>
      <c r="I40" s="9"/>
    </row>
    <row r="41" spans="1:10" ht="13" x14ac:dyDescent="0.3">
      <c r="A41" s="214" t="s">
        <v>403</v>
      </c>
      <c r="B41" s="43">
        <v>1250</v>
      </c>
      <c r="C41" s="219">
        <f t="shared" si="1"/>
        <v>0.64</v>
      </c>
      <c r="D41" s="2"/>
      <c r="E41" s="2"/>
      <c r="F41" s="2"/>
      <c r="G41" s="2"/>
      <c r="H41" s="2"/>
      <c r="I41" s="9"/>
    </row>
    <row r="42" spans="1:10" ht="13.5" thickBot="1" x14ac:dyDescent="0.35">
      <c r="A42" s="240" t="s">
        <v>404</v>
      </c>
      <c r="B42" s="44">
        <v>1620</v>
      </c>
      <c r="C42" s="220">
        <f t="shared" si="1"/>
        <v>0.38103947568968144</v>
      </c>
      <c r="D42" s="2"/>
      <c r="E42" s="2"/>
      <c r="F42" s="2"/>
      <c r="G42" s="2"/>
      <c r="H42" s="2"/>
      <c r="I42" s="9"/>
    </row>
    <row r="43" spans="1:10" ht="13" thickTop="1" x14ac:dyDescent="0.25">
      <c r="A43" s="10"/>
      <c r="B43" s="2"/>
      <c r="C43" s="2"/>
      <c r="D43" s="2"/>
      <c r="E43" s="2"/>
      <c r="F43" s="2"/>
      <c r="G43" s="2"/>
      <c r="H43" s="2"/>
      <c r="I43" s="9"/>
    </row>
    <row r="44" spans="1:10" x14ac:dyDescent="0.25">
      <c r="A44" s="10"/>
      <c r="B44" s="2"/>
      <c r="C44" s="2"/>
      <c r="D44" s="2"/>
      <c r="E44" s="2"/>
      <c r="F44" s="2"/>
      <c r="G44" s="2"/>
      <c r="H44" s="2"/>
      <c r="I44" s="9"/>
    </row>
    <row r="45" spans="1:10" x14ac:dyDescent="0.25">
      <c r="A45" s="10"/>
      <c r="B45" s="2"/>
      <c r="C45" s="2"/>
      <c r="D45" s="2"/>
      <c r="E45" s="2"/>
      <c r="F45" s="2"/>
      <c r="G45" s="2"/>
      <c r="H45" s="2"/>
      <c r="I45" s="9"/>
    </row>
    <row r="46" spans="1:10" x14ac:dyDescent="0.25">
      <c r="A46" s="10"/>
      <c r="B46" s="2"/>
      <c r="C46" s="2"/>
      <c r="D46" s="2"/>
      <c r="E46" s="2"/>
      <c r="F46" s="2"/>
      <c r="G46" s="2"/>
      <c r="H46" s="2"/>
      <c r="I46" s="9"/>
    </row>
    <row r="47" spans="1:10" ht="13" thickBot="1" x14ac:dyDescent="0.3">
      <c r="A47" s="14"/>
      <c r="B47" s="15"/>
      <c r="C47" s="15"/>
      <c r="D47" s="15"/>
      <c r="E47" s="15"/>
      <c r="F47" s="15"/>
      <c r="G47" s="15"/>
      <c r="H47" s="15"/>
      <c r="I47" s="16"/>
    </row>
    <row r="48" spans="1:10" ht="13" thickTop="1" x14ac:dyDescent="0.25"/>
  </sheetData>
  <sheetProtection algorithmName="SHA-512" hashValue="k2h5Hm7jP1PC+dPuyr10pAk0nASwcklWIBwuF0bUiYANKJBf6EpeYqmbi4dqnWq7/AbOXEOiDVBZHdE3CimVNw==" saltValue="NrpD2QDfk37THMzrrjr90w==" spinCount="100000" sheet="1" objects="1" scenarios="1"/>
  <mergeCells count="6">
    <mergeCell ref="A33:A34"/>
    <mergeCell ref="A1:H1"/>
    <mergeCell ref="A2:H2"/>
    <mergeCell ref="A9:A10"/>
    <mergeCell ref="A25:H25"/>
    <mergeCell ref="A26:H26"/>
  </mergeCells>
  <conditionalFormatting sqref="C11:C18">
    <cfRule type="cellIs" dxfId="1" priority="2" operator="lessThan">
      <formula>#REF!</formula>
    </cfRule>
  </conditionalFormatting>
  <conditionalFormatting sqref="C35:C42">
    <cfRule type="cellIs" dxfId="0" priority="1" operator="lessThan">
      <formula>#REF!</formula>
    </cfRule>
  </conditionalFormatting>
  <pageMargins left="0.59055118110236227" right="0.39370078740157483" top="0.98425196850393704" bottom="0.98425196850393704" header="0.51181102362204722" footer="0.51181102362204722"/>
  <pageSetup paperSize="9" scale="105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8.7265625" defaultRowHeight="12.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3"/>
  <sheetViews>
    <sheetView showGridLines="0" zoomScaleNormal="100" workbookViewId="0">
      <selection activeCell="F70" sqref="F70"/>
    </sheetView>
  </sheetViews>
  <sheetFormatPr baseColWidth="10" defaultColWidth="8.81640625" defaultRowHeight="12.5" x14ac:dyDescent="0.25"/>
  <cols>
    <col min="1" max="1" width="23.7265625" customWidth="1"/>
    <col min="2" max="2" width="14.26953125" customWidth="1"/>
    <col min="3" max="4" width="15.7265625" customWidth="1"/>
    <col min="5" max="8" width="10.7265625" customWidth="1"/>
    <col min="9" max="9" width="20.453125" bestFit="1" customWidth="1"/>
    <col min="13" max="14" width="20.26953125" bestFit="1" customWidth="1"/>
  </cols>
  <sheetData>
    <row r="1" spans="1:10" ht="20.5" thickTop="1" x14ac:dyDescent="0.4">
      <c r="A1" s="278" t="s">
        <v>410</v>
      </c>
      <c r="B1" s="279"/>
      <c r="C1" s="279"/>
      <c r="D1" s="279"/>
      <c r="E1" s="279"/>
      <c r="F1" s="279"/>
      <c r="G1" s="279"/>
      <c r="H1" s="279"/>
      <c r="I1" s="142"/>
      <c r="J1" s="1"/>
    </row>
    <row r="2" spans="1:10" ht="20.5" thickBot="1" x14ac:dyDescent="0.45">
      <c r="A2" s="280" t="s">
        <v>411</v>
      </c>
      <c r="B2" s="281"/>
      <c r="C2" s="281"/>
      <c r="D2" s="281"/>
      <c r="E2" s="281"/>
      <c r="F2" s="281"/>
      <c r="G2" s="281"/>
      <c r="H2" s="281"/>
      <c r="I2" s="282"/>
      <c r="J2" s="1"/>
    </row>
    <row r="3" spans="1:10" ht="13.5" thickTop="1" x14ac:dyDescent="0.3">
      <c r="A3" s="6"/>
      <c r="B3" s="21"/>
      <c r="C3" s="21"/>
      <c r="D3" s="7"/>
      <c r="E3" s="7"/>
      <c r="F3" s="7"/>
      <c r="G3" s="7"/>
      <c r="H3" s="7"/>
      <c r="I3" s="8"/>
    </row>
    <row r="4" spans="1:10" ht="13" x14ac:dyDescent="0.3">
      <c r="A4" s="10"/>
      <c r="B4" s="5" t="s">
        <v>1</v>
      </c>
      <c r="C4" s="2"/>
      <c r="E4" s="2"/>
      <c r="F4" s="2"/>
      <c r="G4" s="2"/>
      <c r="H4" s="2"/>
      <c r="I4" s="9"/>
    </row>
    <row r="5" spans="1:10" ht="13" x14ac:dyDescent="0.3">
      <c r="A5" s="34" t="s">
        <v>337</v>
      </c>
      <c r="B5" s="199">
        <v>100</v>
      </c>
      <c r="C5" s="12" t="s">
        <v>252</v>
      </c>
      <c r="E5" s="2"/>
      <c r="F5" s="2"/>
      <c r="G5" s="2"/>
      <c r="H5" s="2"/>
      <c r="I5" s="9"/>
    </row>
    <row r="6" spans="1:10" ht="13" x14ac:dyDescent="0.3">
      <c r="A6" s="34" t="s">
        <v>84</v>
      </c>
      <c r="B6" s="199">
        <v>4</v>
      </c>
      <c r="C6" s="12"/>
      <c r="E6" s="2"/>
      <c r="F6" s="11"/>
      <c r="G6" s="2"/>
      <c r="H6" s="2"/>
      <c r="I6" s="9"/>
    </row>
    <row r="7" spans="1:10" ht="13" x14ac:dyDescent="0.3">
      <c r="A7" s="10"/>
      <c r="B7" s="2"/>
      <c r="C7" s="2"/>
      <c r="E7" s="2"/>
      <c r="F7" s="11"/>
      <c r="G7" s="2"/>
      <c r="H7" s="2"/>
      <c r="I7" s="9"/>
    </row>
    <row r="8" spans="1:10" ht="13" thickBot="1" x14ac:dyDescent="0.3">
      <c r="A8" s="10"/>
      <c r="B8" s="2"/>
      <c r="C8" s="2"/>
      <c r="D8" s="2"/>
      <c r="E8" s="2"/>
      <c r="F8" s="2"/>
      <c r="G8" s="2"/>
      <c r="H8" s="2"/>
      <c r="I8" s="9"/>
    </row>
    <row r="9" spans="1:10" ht="13.5" thickTop="1" x14ac:dyDescent="0.3">
      <c r="A9" s="275" t="s">
        <v>0</v>
      </c>
      <c r="B9" s="277" t="s">
        <v>3</v>
      </c>
      <c r="C9" s="277"/>
      <c r="D9" s="179" t="s">
        <v>338</v>
      </c>
      <c r="E9" s="2"/>
      <c r="F9" s="2"/>
      <c r="G9" s="2"/>
      <c r="H9" s="2"/>
      <c r="I9" s="9"/>
    </row>
    <row r="10" spans="1:10" ht="13.5" thickBot="1" x14ac:dyDescent="0.35">
      <c r="A10" s="276"/>
      <c r="B10" s="203" t="s">
        <v>2</v>
      </c>
      <c r="C10" s="203" t="s">
        <v>4</v>
      </c>
      <c r="D10" s="200" t="s">
        <v>2</v>
      </c>
      <c r="E10" s="2"/>
      <c r="F10" s="2"/>
      <c r="G10" s="2"/>
      <c r="H10" s="2"/>
      <c r="I10" s="9"/>
    </row>
    <row r="11" spans="1:10" ht="13" x14ac:dyDescent="0.3">
      <c r="A11" s="244" t="s">
        <v>420</v>
      </c>
      <c r="B11" s="245" t="s">
        <v>412</v>
      </c>
      <c r="C11" s="245" t="s">
        <v>361</v>
      </c>
      <c r="D11" s="30">
        <f t="shared" ref="D11:D13" si="0">IF($B$5&gt;400,"NOT POSSIBLE",IF($B$6&lt;0.5,"NOT POSSIBLE",(IF($B$6&gt;4,"NOT POSSIBLE",IF($B$5&gt;B36,C36,(1000*D36*(($B$5/100)^0.5)))))))</f>
        <v>900</v>
      </c>
      <c r="E11" s="2"/>
      <c r="F11" s="2"/>
      <c r="G11" s="2"/>
      <c r="H11" s="2"/>
      <c r="I11" s="9"/>
    </row>
    <row r="12" spans="1:10" ht="13" x14ac:dyDescent="0.3">
      <c r="A12" s="246" t="s">
        <v>421</v>
      </c>
      <c r="B12" s="247" t="s">
        <v>413</v>
      </c>
      <c r="C12" s="247" t="s">
        <v>25</v>
      </c>
      <c r="D12" s="30">
        <f t="shared" si="0"/>
        <v>1080</v>
      </c>
      <c r="E12" s="2"/>
      <c r="F12" s="2"/>
      <c r="G12" s="2"/>
      <c r="H12" s="2"/>
      <c r="I12" s="9"/>
    </row>
    <row r="13" spans="1:10" ht="13" x14ac:dyDescent="0.3">
      <c r="A13" s="244" t="s">
        <v>422</v>
      </c>
      <c r="B13" s="245" t="s">
        <v>414</v>
      </c>
      <c r="C13" s="245" t="s">
        <v>415</v>
      </c>
      <c r="D13" s="30">
        <f t="shared" si="0"/>
        <v>1550</v>
      </c>
      <c r="E13" s="2"/>
      <c r="F13" s="2"/>
      <c r="G13" s="2"/>
      <c r="H13" s="2"/>
      <c r="I13" s="9"/>
    </row>
    <row r="14" spans="1:10" ht="13" x14ac:dyDescent="0.3">
      <c r="A14" s="246" t="s">
        <v>423</v>
      </c>
      <c r="B14" s="247" t="s">
        <v>416</v>
      </c>
      <c r="C14" s="247" t="s">
        <v>12</v>
      </c>
      <c r="D14" s="30">
        <f t="shared" ref="D14:D19" si="1">IF($B$5&gt;400,"NOT POSSIBLE",IF($B$6&lt;0.5,"NOT POSSIBLE",(IF($B$6&gt;4,"NOT POSSIBLE",IF($B$5&gt;B39,C39,(1000*D39*(($B$5/100)^0.5)))))))</f>
        <v>1930</v>
      </c>
      <c r="E14" s="2"/>
      <c r="F14" s="2"/>
      <c r="G14" s="2"/>
      <c r="H14" s="2"/>
      <c r="I14" s="9"/>
    </row>
    <row r="15" spans="1:10" ht="13" x14ac:dyDescent="0.3">
      <c r="A15" s="244" t="s">
        <v>432</v>
      </c>
      <c r="B15" s="259" t="s">
        <v>434</v>
      </c>
      <c r="C15" s="259" t="s">
        <v>361</v>
      </c>
      <c r="D15" s="30">
        <f t="shared" si="1"/>
        <v>900</v>
      </c>
      <c r="E15" s="2"/>
      <c r="F15" s="2"/>
      <c r="G15" s="2"/>
      <c r="H15" s="2"/>
      <c r="I15" s="9"/>
    </row>
    <row r="16" spans="1:10" ht="13" x14ac:dyDescent="0.3">
      <c r="A16" s="248" t="s">
        <v>433</v>
      </c>
      <c r="B16" s="247" t="s">
        <v>435</v>
      </c>
      <c r="C16" s="247" t="s">
        <v>25</v>
      </c>
      <c r="D16" s="30">
        <f t="shared" si="1"/>
        <v>2400</v>
      </c>
      <c r="E16" s="2"/>
      <c r="F16" s="2"/>
      <c r="G16" s="2"/>
      <c r="H16" s="2"/>
      <c r="I16" s="9"/>
    </row>
    <row r="17" spans="1:9" ht="13" x14ac:dyDescent="0.3">
      <c r="A17" s="260" t="s">
        <v>23</v>
      </c>
      <c r="B17" s="259" t="s">
        <v>417</v>
      </c>
      <c r="C17" s="259" t="s">
        <v>28</v>
      </c>
      <c r="D17" s="30">
        <f t="shared" si="1"/>
        <v>5000</v>
      </c>
      <c r="E17" s="2"/>
      <c r="F17" s="2"/>
      <c r="G17" s="2"/>
      <c r="H17" s="2"/>
      <c r="I17" s="9"/>
    </row>
    <row r="18" spans="1:9" ht="13" x14ac:dyDescent="0.3">
      <c r="A18" s="248" t="s">
        <v>26</v>
      </c>
      <c r="B18" s="247" t="s">
        <v>418</v>
      </c>
      <c r="C18" s="247" t="s">
        <v>361</v>
      </c>
      <c r="D18" s="30">
        <f t="shared" si="1"/>
        <v>7400</v>
      </c>
      <c r="E18" s="2"/>
      <c r="F18" s="2"/>
      <c r="G18" s="2"/>
      <c r="H18" s="2"/>
      <c r="I18" s="9"/>
    </row>
    <row r="19" spans="1:9" ht="13.5" thickBot="1" x14ac:dyDescent="0.35">
      <c r="A19" s="261" t="s">
        <v>29</v>
      </c>
      <c r="B19" s="262" t="s">
        <v>419</v>
      </c>
      <c r="C19" s="262" t="s">
        <v>361</v>
      </c>
      <c r="D19" s="30">
        <f t="shared" si="1"/>
        <v>10350</v>
      </c>
      <c r="E19" s="2"/>
      <c r="F19" s="2"/>
      <c r="G19" s="2"/>
      <c r="H19" s="2"/>
      <c r="I19" s="9"/>
    </row>
    <row r="20" spans="1:9" ht="13" thickTop="1" x14ac:dyDescent="0.25">
      <c r="A20" s="10"/>
      <c r="B20" s="2"/>
      <c r="C20" s="2"/>
      <c r="D20" s="233" t="s">
        <v>376</v>
      </c>
      <c r="E20" s="2"/>
      <c r="F20" s="2"/>
      <c r="G20" s="2"/>
      <c r="H20" s="2"/>
      <c r="I20" s="9"/>
    </row>
    <row r="21" spans="1:9" x14ac:dyDescent="0.25">
      <c r="A21" s="10"/>
      <c r="B21" s="2"/>
      <c r="C21" s="2"/>
      <c r="D21" s="234" t="s">
        <v>377</v>
      </c>
      <c r="E21" s="2"/>
      <c r="F21" s="2"/>
      <c r="G21" s="2"/>
      <c r="H21" s="2"/>
      <c r="I21" s="9"/>
    </row>
    <row r="22" spans="1:9" x14ac:dyDescent="0.25">
      <c r="A22" s="10"/>
      <c r="B22" s="2"/>
      <c r="C22" s="2"/>
      <c r="E22" s="2"/>
      <c r="F22" s="2"/>
      <c r="G22" s="2"/>
      <c r="H22" s="2"/>
      <c r="I22" s="9"/>
    </row>
    <row r="23" spans="1:9" x14ac:dyDescent="0.25">
      <c r="A23" s="10"/>
      <c r="B23" s="2"/>
      <c r="C23" s="2"/>
      <c r="E23" s="2"/>
      <c r="F23" s="2"/>
      <c r="G23" s="2"/>
      <c r="H23" s="2"/>
      <c r="I23" s="9"/>
    </row>
    <row r="24" spans="1:9" x14ac:dyDescent="0.25">
      <c r="A24" s="10"/>
      <c r="B24" s="2"/>
      <c r="C24" s="2"/>
      <c r="E24" s="2"/>
      <c r="F24" s="2"/>
      <c r="G24" s="2"/>
      <c r="H24" s="2"/>
      <c r="I24" s="9"/>
    </row>
    <row r="25" spans="1:9" x14ac:dyDescent="0.25">
      <c r="A25" s="10"/>
      <c r="B25" s="2"/>
      <c r="C25" s="2"/>
      <c r="E25" s="2"/>
      <c r="F25" s="2"/>
      <c r="G25" s="2"/>
      <c r="H25" s="2"/>
      <c r="I25" s="9"/>
    </row>
    <row r="26" spans="1:9" x14ac:dyDescent="0.25">
      <c r="A26" s="10"/>
      <c r="B26" s="2"/>
      <c r="C26" s="2"/>
      <c r="E26" s="2"/>
      <c r="F26" s="2"/>
      <c r="G26" s="2"/>
      <c r="H26" s="2"/>
      <c r="I26" s="9"/>
    </row>
    <row r="27" spans="1:9" x14ac:dyDescent="0.25">
      <c r="A27" s="10"/>
      <c r="B27" s="2"/>
      <c r="C27" s="2"/>
      <c r="E27" s="2"/>
      <c r="F27" s="2"/>
      <c r="G27" s="2"/>
      <c r="H27" s="2"/>
      <c r="I27" s="9"/>
    </row>
    <row r="28" spans="1:9" x14ac:dyDescent="0.25">
      <c r="A28" s="10"/>
      <c r="B28" s="2"/>
      <c r="C28" s="2"/>
      <c r="E28" s="2"/>
      <c r="F28" s="2"/>
      <c r="G28" s="2"/>
      <c r="H28" s="2"/>
      <c r="I28" s="9"/>
    </row>
    <row r="29" spans="1:9" x14ac:dyDescent="0.25">
      <c r="A29" s="10"/>
      <c r="B29" s="2"/>
      <c r="C29" s="2"/>
      <c r="E29" s="2"/>
      <c r="F29" s="2"/>
      <c r="G29" s="2"/>
      <c r="H29" s="2"/>
      <c r="I29" s="9"/>
    </row>
    <row r="30" spans="1:9" x14ac:dyDescent="0.25">
      <c r="A30" s="10"/>
      <c r="B30" s="2"/>
      <c r="C30" s="2"/>
      <c r="E30" s="2"/>
      <c r="F30" s="2"/>
      <c r="G30" s="2"/>
      <c r="H30" s="2"/>
      <c r="I30" s="9"/>
    </row>
    <row r="31" spans="1:9" x14ac:dyDescent="0.25">
      <c r="A31" s="10"/>
      <c r="B31" s="2"/>
      <c r="C31" s="2"/>
      <c r="E31" s="2"/>
      <c r="F31" s="2"/>
      <c r="G31" s="2"/>
      <c r="H31" s="2"/>
      <c r="I31" s="9"/>
    </row>
    <row r="32" spans="1:9" x14ac:dyDescent="0.25">
      <c r="A32" s="10"/>
      <c r="B32" s="2"/>
      <c r="C32" s="2"/>
      <c r="D32" s="13"/>
      <c r="E32" s="2"/>
      <c r="F32" s="2"/>
      <c r="G32" s="2"/>
      <c r="H32" s="2"/>
      <c r="I32" s="9"/>
    </row>
    <row r="33" spans="1:10" ht="13" thickBot="1" x14ac:dyDescent="0.3">
      <c r="A33" s="14" t="s">
        <v>6</v>
      </c>
      <c r="B33" s="15"/>
      <c r="C33" s="15"/>
      <c r="D33" s="15"/>
      <c r="E33" s="15"/>
      <c r="F33" s="15"/>
      <c r="G33" s="15"/>
      <c r="H33" s="15"/>
      <c r="I33" s="16"/>
    </row>
    <row r="34" spans="1:10" ht="13.5" hidden="1" thickTop="1" thickBot="1" x14ac:dyDescent="0.3"/>
    <row r="35" spans="1:10" ht="13" hidden="1" thickTop="1" x14ac:dyDescent="0.25">
      <c r="A35" s="40" t="s">
        <v>59</v>
      </c>
      <c r="B35" s="243" t="s">
        <v>85</v>
      </c>
      <c r="C35" s="42" t="s">
        <v>86</v>
      </c>
      <c r="D35" s="37" t="s">
        <v>87</v>
      </c>
      <c r="E35" s="242" t="s">
        <v>5</v>
      </c>
      <c r="F35" s="37" t="s">
        <v>58</v>
      </c>
      <c r="G35" s="31"/>
      <c r="H35" s="31"/>
      <c r="I35" s="31"/>
      <c r="J35" s="31"/>
    </row>
    <row r="36" spans="1:10" hidden="1" x14ac:dyDescent="0.25">
      <c r="A36" s="213" t="s">
        <v>33</v>
      </c>
      <c r="B36" s="43">
        <f>ROUND(IF(B6&lt;0.5,10,((((0.1322*B6^2+0.2648*B6+9.8241))))),1)</f>
        <v>13</v>
      </c>
      <c r="C36" s="43">
        <f>ROUND(-5.7143*B6^4+53.81*B6^3-185*B6^2+514.05*B6-177.14,0)</f>
        <v>900</v>
      </c>
      <c r="D36" s="45">
        <f>(C36/1000)/((B36/100)^0.5)</f>
        <v>2.4961508830135308</v>
      </c>
      <c r="E36" s="38">
        <v>0.5</v>
      </c>
      <c r="F36" s="3">
        <v>10</v>
      </c>
      <c r="G36" s="31"/>
      <c r="H36" s="31"/>
      <c r="I36" s="31"/>
      <c r="J36" s="31"/>
    </row>
    <row r="37" spans="1:10" hidden="1" x14ac:dyDescent="0.25">
      <c r="A37" s="249" t="s">
        <v>35</v>
      </c>
      <c r="B37" s="43">
        <f>ROUND(IF(B6&lt;1,14,((((0.2956*B6^2-0.4757*B6+14.17))))),1)</f>
        <v>17</v>
      </c>
      <c r="C37" s="43">
        <f>ROUND(-10.762*B6^4+95.952*B6^3-301.67*B6^2+684.76*B6-218.29,0)</f>
        <v>1080</v>
      </c>
      <c r="D37" s="45">
        <f t="shared" ref="D37:D44" si="2">(C37/1000)/((B37/100)^0.5)</f>
        <v>2.6193847503923964</v>
      </c>
      <c r="E37" s="38">
        <v>1</v>
      </c>
      <c r="F37" s="3">
        <v>10.199999999999999</v>
      </c>
      <c r="G37" s="31"/>
      <c r="H37" s="31"/>
      <c r="I37" s="31"/>
      <c r="J37" s="31"/>
    </row>
    <row r="38" spans="1:10" hidden="1" x14ac:dyDescent="0.25">
      <c r="A38" s="213" t="s">
        <v>37</v>
      </c>
      <c r="B38" s="156">
        <f>ROUND(IF(B6&lt;2,9,((((0.5565*B6^2-0.7865*B6+9.2446))))),1)</f>
        <v>15</v>
      </c>
      <c r="C38" s="156">
        <f>ROUND(-8.0532*B6^4+68.032*B6^3-269.36*B6^2+977.66*B6-343.28,0)</f>
        <v>1550</v>
      </c>
      <c r="D38" s="45">
        <f t="shared" si="2"/>
        <v>4.0020827910809977</v>
      </c>
      <c r="E38" s="38">
        <v>2</v>
      </c>
      <c r="F38" s="3">
        <v>10.9</v>
      </c>
      <c r="G38" s="31"/>
      <c r="H38" s="31"/>
      <c r="I38" s="31"/>
      <c r="J38" s="31"/>
    </row>
    <row r="39" spans="1:10" hidden="1" x14ac:dyDescent="0.25">
      <c r="A39" s="249" t="s">
        <v>39</v>
      </c>
      <c r="B39" s="156">
        <f>ROUND(IF(B6&lt;2,16,((((1.3*B6^2-3.3*B6+17.4))))),1)</f>
        <v>25</v>
      </c>
      <c r="C39" s="156">
        <f>ROUND(-9.2437*B6^4+99.104*B6^3-443.53*B6^2+1385.5*B6-491.85,0)</f>
        <v>1930</v>
      </c>
      <c r="D39" s="45">
        <f t="shared" si="2"/>
        <v>3.86</v>
      </c>
      <c r="E39" s="38">
        <v>3</v>
      </c>
      <c r="F39" s="3">
        <v>11.8</v>
      </c>
      <c r="G39" s="31"/>
      <c r="H39" s="31"/>
      <c r="I39" s="31"/>
      <c r="J39" s="31"/>
    </row>
    <row r="40" spans="1:10" hidden="1" x14ac:dyDescent="0.25">
      <c r="A40" s="213" t="s">
        <v>42</v>
      </c>
      <c r="B40" s="156">
        <f>ROUND(IF(B6&lt;1,10,((((0.0076190476*B6^4-0.0761904762*B6^3+0.2666666667*B6^2+1.119047619*B6+9.3828571429
))))),1)</f>
        <v>15.2</v>
      </c>
      <c r="C40" s="156">
        <f>ROUND(3.3195*B6^4-23.189*B6^3+36.138*B6^2+264.14*B6-100.42,0)</f>
        <v>900</v>
      </c>
      <c r="D40" s="45">
        <f t="shared" si="2"/>
        <v>2.3084512921915969</v>
      </c>
      <c r="E40" s="257"/>
      <c r="F40" s="258"/>
      <c r="G40" s="31"/>
      <c r="H40" s="31"/>
      <c r="I40" s="31"/>
      <c r="J40" s="31"/>
    </row>
    <row r="41" spans="1:10" ht="13" hidden="1" thickBot="1" x14ac:dyDescent="0.3">
      <c r="A41" s="249" t="s">
        <v>44</v>
      </c>
      <c r="B41" s="156">
        <f>ROUND(IF(B6&lt;1,14,((((-0.2957*B6^4+2.7972*B6^3-6.6079*B6^2+5.804*B6+12.383))))),1)</f>
        <v>33.200000000000003</v>
      </c>
      <c r="C41" s="156">
        <f>ROUND(-25.511*B6^4+213.43*B6^3-627.77*B6^2+1441.9*B6-452.05,0)</f>
        <v>2400</v>
      </c>
      <c r="D41" s="45">
        <f t="shared" si="2"/>
        <v>4.1652608070037394</v>
      </c>
      <c r="E41" s="39">
        <v>4</v>
      </c>
      <c r="F41" s="4">
        <v>13</v>
      </c>
      <c r="G41" s="31"/>
      <c r="H41" s="31"/>
      <c r="I41" s="31"/>
      <c r="J41" s="31"/>
    </row>
    <row r="42" spans="1:10" ht="13" hidden="1" thickTop="1" x14ac:dyDescent="0.25">
      <c r="A42" s="22" t="s">
        <v>23</v>
      </c>
      <c r="B42" s="156">
        <f>ROUND(IF(B6&lt;1,15,((((0.2852498017*B6^2+0.4377874703*B6+14.6948850119))))),1)</f>
        <v>21</v>
      </c>
      <c r="C42" s="156">
        <f>ROUND(3.834*B6^4-33.34*B6^3+49.191*B6^2+1478.3*B6-547.98,0)</f>
        <v>5000</v>
      </c>
      <c r="D42" s="45">
        <f t="shared" si="2"/>
        <v>10.910894511799619</v>
      </c>
      <c r="E42" s="48"/>
      <c r="F42" s="49"/>
      <c r="G42" s="31"/>
      <c r="H42" s="31"/>
      <c r="I42" s="31"/>
      <c r="J42" s="31"/>
    </row>
    <row r="43" spans="1:10" hidden="1" x14ac:dyDescent="0.25">
      <c r="A43" s="23" t="s">
        <v>26</v>
      </c>
      <c r="B43" s="156">
        <f>ROUND(IF(B6&lt;2,10,((((0.95*B6^2-2.25*B6+10.8))))),1)</f>
        <v>17</v>
      </c>
      <c r="C43" s="156">
        <f>ROUND(-14.706*B6^4+138.73*B6^3-364.71*B6^2+2093.6*B6-252.94,0)</f>
        <v>7400</v>
      </c>
      <c r="D43" s="45">
        <f t="shared" si="2"/>
        <v>17.947636252688639</v>
      </c>
      <c r="E43" s="48"/>
      <c r="F43" s="49"/>
      <c r="G43" s="31"/>
      <c r="H43" s="31"/>
      <c r="I43" s="31"/>
      <c r="J43" s="31"/>
    </row>
    <row r="44" spans="1:10" ht="13" hidden="1" thickBot="1" x14ac:dyDescent="0.3">
      <c r="A44" s="24" t="s">
        <v>29</v>
      </c>
      <c r="B44" s="156">
        <f>ROUND(IF(B6&lt;2,10,((((-0.1914*B6^4+1.831*B6^3-4*B6^2+3.1548*B6+9.2057))))),1)</f>
        <v>26</v>
      </c>
      <c r="C44" s="156">
        <f>ROUND(36.667*B6^4-258.33*B6^3+783.33*B6^2+1208.3*B6+130,0)</f>
        <v>10350</v>
      </c>
      <c r="D44" s="45">
        <f t="shared" si="2"/>
        <v>20.298019986802046</v>
      </c>
      <c r="E44" s="48"/>
      <c r="F44" s="49"/>
      <c r="G44" s="31"/>
      <c r="H44" s="31"/>
      <c r="I44" s="31"/>
      <c r="J44" s="31"/>
    </row>
    <row r="45" spans="1:10" ht="13" hidden="1" thickTop="1" x14ac:dyDescent="0.25">
      <c r="A45" s="31"/>
      <c r="B45" s="31"/>
      <c r="C45" s="31"/>
      <c r="D45" s="31"/>
      <c r="E45" s="51"/>
      <c r="F45" s="52"/>
      <c r="G45" s="31"/>
      <c r="H45" s="31"/>
      <c r="I45" s="31"/>
      <c r="J45" s="31"/>
    </row>
    <row r="46" spans="1:10" hidden="1" x14ac:dyDescent="0.25">
      <c r="A46" s="31"/>
      <c r="B46" s="31"/>
      <c r="C46" s="31"/>
      <c r="D46" s="31"/>
      <c r="E46" s="51"/>
      <c r="F46" s="52"/>
      <c r="G46" s="31"/>
      <c r="H46" s="31"/>
      <c r="I46" s="31"/>
      <c r="J46" s="31"/>
    </row>
    <row r="47" spans="1:10" hidden="1" x14ac:dyDescent="0.25">
      <c r="A47" s="31"/>
      <c r="B47" s="31"/>
      <c r="C47" s="31"/>
      <c r="D47" s="31"/>
      <c r="E47" s="51"/>
      <c r="F47" s="52"/>
      <c r="G47" s="31"/>
      <c r="H47" s="31"/>
      <c r="I47" s="31"/>
      <c r="J47" s="31"/>
    </row>
    <row r="48" spans="1:10" hidden="1" x14ac:dyDescent="0.25">
      <c r="A48" s="31"/>
      <c r="B48" s="31"/>
      <c r="C48" s="31"/>
      <c r="D48" s="31"/>
      <c r="E48" s="51"/>
      <c r="F48" s="52"/>
      <c r="G48" s="31"/>
      <c r="H48" s="31"/>
      <c r="I48" s="31"/>
      <c r="J48" s="31"/>
    </row>
    <row r="49" spans="1:10" hidden="1" x14ac:dyDescent="0.25">
      <c r="A49" s="31"/>
      <c r="B49" s="31"/>
      <c r="C49" s="31"/>
      <c r="D49" s="31"/>
      <c r="E49" s="51"/>
      <c r="F49" s="52"/>
      <c r="G49" s="31"/>
      <c r="H49" s="31"/>
      <c r="I49" s="31"/>
      <c r="J49" s="31"/>
    </row>
    <row r="50" spans="1:10" hidden="1" x14ac:dyDescent="0.25">
      <c r="A50" s="31"/>
      <c r="B50" s="31"/>
      <c r="C50" s="31"/>
      <c r="D50" s="31"/>
      <c r="E50" s="51"/>
      <c r="F50" s="52"/>
      <c r="G50" s="31"/>
      <c r="H50" s="31"/>
      <c r="I50" s="31"/>
      <c r="J50" s="31"/>
    </row>
    <row r="51" spans="1:10" hidden="1" x14ac:dyDescent="0.25">
      <c r="A51" s="31"/>
      <c r="B51" s="31"/>
      <c r="C51" s="31"/>
      <c r="D51" s="31"/>
      <c r="E51" s="51"/>
      <c r="F51" s="52"/>
      <c r="G51" s="31"/>
      <c r="H51" s="31"/>
      <c r="I51" s="31"/>
      <c r="J51" s="31"/>
    </row>
    <row r="52" spans="1:10" hidden="1" x14ac:dyDescent="0.25">
      <c r="A52" s="31"/>
      <c r="B52" s="31"/>
      <c r="C52" s="31"/>
      <c r="D52" s="31"/>
      <c r="E52" s="51"/>
      <c r="F52" s="52"/>
      <c r="G52" s="31"/>
      <c r="H52" s="31"/>
      <c r="I52" s="31"/>
      <c r="J52" s="31"/>
    </row>
    <row r="53" spans="1:10" hidden="1" x14ac:dyDescent="0.25">
      <c r="A53" s="31"/>
      <c r="B53" s="31"/>
      <c r="C53" s="31"/>
      <c r="D53" s="31"/>
      <c r="E53" s="51"/>
      <c r="F53" s="52"/>
      <c r="G53" s="31"/>
      <c r="H53" s="31"/>
      <c r="I53" s="31"/>
      <c r="J53" s="31"/>
    </row>
    <row r="54" spans="1:10" hidden="1" x14ac:dyDescent="0.25">
      <c r="A54" s="31"/>
      <c r="B54" s="31"/>
      <c r="C54" s="31"/>
      <c r="D54" s="31"/>
      <c r="E54" s="31"/>
      <c r="F54" s="31"/>
      <c r="G54" s="31"/>
      <c r="H54" s="31"/>
      <c r="I54" s="31"/>
      <c r="J54" s="31"/>
    </row>
    <row r="55" spans="1:10" hidden="1" x14ac:dyDescent="0.25">
      <c r="A55" s="31"/>
      <c r="B55" s="31"/>
      <c r="C55" s="31"/>
      <c r="D55" s="31"/>
      <c r="E55" s="31"/>
      <c r="F55" s="31"/>
      <c r="G55" s="31"/>
      <c r="H55" s="31"/>
      <c r="I55" s="31"/>
      <c r="J55" s="31"/>
    </row>
    <row r="56" spans="1:10" hidden="1" x14ac:dyDescent="0.25">
      <c r="A56" s="31"/>
      <c r="B56" s="31"/>
      <c r="C56" s="31"/>
      <c r="D56" s="31"/>
      <c r="E56" s="31"/>
      <c r="F56" s="31"/>
      <c r="G56" s="31"/>
      <c r="H56" s="31"/>
      <c r="I56" s="31"/>
      <c r="J56" s="31"/>
    </row>
    <row r="57" spans="1:10" ht="13" thickTop="1" x14ac:dyDescent="0.25">
      <c r="A57" s="31"/>
      <c r="B57" s="31"/>
      <c r="C57" s="31"/>
      <c r="D57" s="31"/>
      <c r="E57" s="31"/>
      <c r="F57" s="31"/>
      <c r="G57" s="31"/>
      <c r="H57" s="31"/>
      <c r="I57" s="31"/>
      <c r="J57" s="31"/>
    </row>
    <row r="58" spans="1:10" x14ac:dyDescent="0.25">
      <c r="A58" s="31"/>
      <c r="B58" s="31"/>
      <c r="C58" s="31"/>
      <c r="D58" s="31"/>
      <c r="E58" s="31"/>
      <c r="F58" s="31"/>
      <c r="G58" s="31"/>
      <c r="H58" s="31"/>
      <c r="I58" s="31"/>
      <c r="J58" s="31"/>
    </row>
    <row r="59" spans="1:10" x14ac:dyDescent="0.25">
      <c r="A59" s="31"/>
      <c r="B59" s="31"/>
      <c r="C59" s="31"/>
      <c r="D59" s="31"/>
      <c r="E59" s="31"/>
      <c r="F59" s="31"/>
      <c r="G59" s="31"/>
      <c r="H59" s="31"/>
      <c r="I59" s="31"/>
      <c r="J59" s="31"/>
    </row>
    <row r="60" spans="1:10" x14ac:dyDescent="0.25">
      <c r="A60" s="31"/>
      <c r="B60" s="31"/>
      <c r="C60" s="31"/>
      <c r="D60" s="31"/>
      <c r="E60" s="31"/>
      <c r="F60" s="31"/>
      <c r="G60" s="31"/>
      <c r="H60" s="31"/>
      <c r="I60" s="31"/>
      <c r="J60" s="31"/>
    </row>
    <row r="61" spans="1:10" x14ac:dyDescent="0.25">
      <c r="A61" s="31"/>
      <c r="B61" s="31"/>
      <c r="C61" s="31"/>
      <c r="D61" s="31"/>
      <c r="E61" s="31"/>
      <c r="F61" s="31"/>
      <c r="G61" s="31"/>
      <c r="H61" s="31"/>
      <c r="I61" s="31"/>
      <c r="J61" s="31"/>
    </row>
    <row r="62" spans="1:10" x14ac:dyDescent="0.25">
      <c r="A62" s="31"/>
      <c r="B62" s="31"/>
      <c r="C62" s="31"/>
      <c r="D62" s="31"/>
      <c r="E62" s="31"/>
      <c r="F62" s="31"/>
      <c r="G62" s="31"/>
      <c r="H62" s="31"/>
      <c r="I62" s="31"/>
      <c r="J62" s="31"/>
    </row>
    <row r="63" spans="1:10" x14ac:dyDescent="0.25">
      <c r="A63" s="31"/>
      <c r="B63" s="31"/>
      <c r="C63" s="31"/>
      <c r="D63" s="31"/>
      <c r="E63" s="31"/>
      <c r="F63" s="31"/>
      <c r="G63" s="31"/>
      <c r="H63" s="31"/>
      <c r="I63" s="31"/>
      <c r="J63" s="31"/>
    </row>
    <row r="64" spans="1:10" x14ac:dyDescent="0.25">
      <c r="A64" s="31"/>
      <c r="B64" s="31"/>
      <c r="C64" s="31"/>
      <c r="D64" s="31"/>
      <c r="E64" s="31"/>
      <c r="F64" s="31"/>
      <c r="G64" s="31"/>
      <c r="H64" s="31"/>
      <c r="I64" s="31"/>
      <c r="J64" s="31"/>
    </row>
    <row r="65" spans="1:10" x14ac:dyDescent="0.25">
      <c r="A65" s="31"/>
      <c r="B65" s="31"/>
      <c r="C65" s="31"/>
      <c r="D65" s="31"/>
      <c r="E65" s="31"/>
      <c r="F65" s="31"/>
      <c r="G65" s="31"/>
      <c r="H65" s="31"/>
      <c r="I65" s="31"/>
      <c r="J65" s="31"/>
    </row>
    <row r="66" spans="1:10" x14ac:dyDescent="0.25">
      <c r="A66" s="31"/>
      <c r="B66" s="31"/>
      <c r="C66" s="31"/>
      <c r="D66" s="31"/>
      <c r="E66" s="31"/>
      <c r="F66" s="31"/>
      <c r="G66" s="31"/>
      <c r="H66" s="31"/>
      <c r="I66" s="31"/>
      <c r="J66" s="31"/>
    </row>
    <row r="67" spans="1:10" x14ac:dyDescent="0.25">
      <c r="A67" s="31"/>
      <c r="B67" s="31"/>
      <c r="C67" s="31"/>
      <c r="D67" s="31"/>
      <c r="E67" s="31"/>
      <c r="F67" s="31"/>
      <c r="G67" s="31"/>
      <c r="H67" s="31"/>
      <c r="I67" s="31"/>
      <c r="J67" s="31"/>
    </row>
    <row r="68" spans="1:10" x14ac:dyDescent="0.25">
      <c r="A68" s="31"/>
      <c r="B68" s="31"/>
      <c r="C68" s="31"/>
      <c r="D68" s="31"/>
      <c r="E68" s="31"/>
      <c r="F68" s="31"/>
      <c r="G68" s="31"/>
      <c r="H68" s="31"/>
      <c r="I68" s="31"/>
      <c r="J68" s="31"/>
    </row>
    <row r="69" spans="1:10" x14ac:dyDescent="0.25">
      <c r="A69" s="31"/>
      <c r="B69" s="31"/>
      <c r="C69" s="31"/>
      <c r="D69" s="31"/>
      <c r="E69" s="31"/>
      <c r="F69" s="31"/>
      <c r="G69" s="31"/>
      <c r="H69" s="31"/>
      <c r="I69" s="31"/>
      <c r="J69" s="31"/>
    </row>
    <row r="70" spans="1:10" x14ac:dyDescent="0.25">
      <c r="A70" s="31"/>
      <c r="B70" s="31"/>
      <c r="C70" s="31"/>
      <c r="D70" s="31"/>
      <c r="E70" s="31"/>
      <c r="F70" s="31"/>
      <c r="G70" s="31"/>
      <c r="H70" s="31"/>
      <c r="I70" s="31"/>
      <c r="J70" s="31"/>
    </row>
    <row r="71" spans="1:10" x14ac:dyDescent="0.25">
      <c r="A71" s="31"/>
      <c r="B71" s="31"/>
      <c r="C71" s="31"/>
      <c r="D71" s="31"/>
      <c r="E71" s="31"/>
      <c r="F71" s="31"/>
      <c r="G71" s="31"/>
      <c r="H71" s="31"/>
      <c r="I71" s="31"/>
      <c r="J71" s="31"/>
    </row>
    <row r="72" spans="1:10" x14ac:dyDescent="0.25">
      <c r="A72" s="31"/>
      <c r="B72" s="31"/>
      <c r="C72" s="31"/>
      <c r="D72" s="31"/>
      <c r="E72" s="31"/>
      <c r="F72" s="31"/>
      <c r="G72" s="31"/>
      <c r="H72" s="31"/>
      <c r="I72" s="31"/>
      <c r="J72" s="31"/>
    </row>
    <row r="73" spans="1:10" x14ac:dyDescent="0.25">
      <c r="A73" s="31"/>
      <c r="B73" s="31"/>
      <c r="C73" s="31"/>
      <c r="D73" s="31"/>
      <c r="E73" s="31"/>
      <c r="F73" s="31"/>
      <c r="G73" s="31"/>
      <c r="H73" s="31"/>
      <c r="I73" s="31"/>
      <c r="J73" s="31"/>
    </row>
  </sheetData>
  <sheetProtection algorithmName="SHA-512" hashValue="Pfyad+yzzvUJ9c1ws7syptkVbzPLdc9CJ0rxxjRs9Qi5OQsxrQaGIVJn+pRu+7fJDX1tGrHuMXxSWenkS7xdYw==" saltValue="8MfIpvJVniv5xicgrrOEZQ==" spinCount="100000" sheet="1" objects="1" scenarios="1"/>
  <mergeCells count="4">
    <mergeCell ref="A1:H1"/>
    <mergeCell ref="A9:A10"/>
    <mergeCell ref="B9:C9"/>
    <mergeCell ref="A2:I2"/>
  </mergeCells>
  <conditionalFormatting sqref="D21">
    <cfRule type="cellIs" dxfId="100" priority="23" operator="equal">
      <formula>"Outside DP-range"</formula>
    </cfRule>
    <cfRule type="cellIs" dxfId="99" priority="24" operator="equal">
      <formula>"Under DP område"</formula>
    </cfRule>
  </conditionalFormatting>
  <conditionalFormatting sqref="D11:D14 D16:D19">
    <cfRule type="cellIs" dxfId="98" priority="22" operator="lessThan">
      <formula>$C$36</formula>
    </cfRule>
  </conditionalFormatting>
  <conditionalFormatting sqref="D11">
    <cfRule type="cellIs" dxfId="97" priority="13" operator="lessThan">
      <formula>$C$36</formula>
    </cfRule>
  </conditionalFormatting>
  <conditionalFormatting sqref="D12">
    <cfRule type="cellIs" dxfId="96" priority="12" operator="lessThan">
      <formula>$C$37</formula>
    </cfRule>
  </conditionalFormatting>
  <conditionalFormatting sqref="D13">
    <cfRule type="cellIs" dxfId="95" priority="5" operator="lessThan">
      <formula>$C$38</formula>
    </cfRule>
    <cfRule type="cellIs" dxfId="94" priority="11" operator="lessThan">
      <formula>$C$38</formula>
    </cfRule>
  </conditionalFormatting>
  <conditionalFormatting sqref="D14">
    <cfRule type="cellIs" dxfId="93" priority="10" operator="lessThan">
      <formula>$C$39</formula>
    </cfRule>
  </conditionalFormatting>
  <conditionalFormatting sqref="D16">
    <cfRule type="cellIs" dxfId="92" priority="9" operator="lessThan">
      <formula>$C$41</formula>
    </cfRule>
  </conditionalFormatting>
  <conditionalFormatting sqref="D17">
    <cfRule type="cellIs" dxfId="91" priority="8" operator="lessThan">
      <formula>$C$42</formula>
    </cfRule>
  </conditionalFormatting>
  <conditionalFormatting sqref="D18">
    <cfRule type="cellIs" dxfId="90" priority="7" operator="lessThan">
      <formula>$C$43</formula>
    </cfRule>
  </conditionalFormatting>
  <conditionalFormatting sqref="D19">
    <cfRule type="cellIs" dxfId="89" priority="6" operator="lessThan">
      <formula>$C$44</formula>
    </cfRule>
  </conditionalFormatting>
  <conditionalFormatting sqref="D15">
    <cfRule type="cellIs" dxfId="88" priority="1" operator="lessThan">
      <formula>$C$40</formula>
    </cfRule>
  </conditionalFormatting>
  <pageMargins left="0.59055118110236227" right="0.39370078740157483" top="0.98425196850393704" bottom="0.98425196850393704" header="0.51181102362204722" footer="0.51181102362204722"/>
  <pageSetup paperSize="9" scale="105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showGridLines="0" zoomScaleNormal="100" workbookViewId="0">
      <selection activeCell="D20" sqref="D20:D21"/>
    </sheetView>
  </sheetViews>
  <sheetFormatPr baseColWidth="10" defaultColWidth="8.81640625" defaultRowHeight="12.5" x14ac:dyDescent="0.25"/>
  <cols>
    <col min="1" max="1" width="23.7265625" customWidth="1"/>
    <col min="2" max="2" width="14.26953125" customWidth="1"/>
    <col min="3" max="4" width="15.7265625" customWidth="1"/>
    <col min="5" max="6" width="10.7265625" customWidth="1"/>
    <col min="7" max="7" width="7.1796875" hidden="1" customWidth="1"/>
    <col min="8" max="8" width="10.7265625" customWidth="1"/>
    <col min="9" max="9" width="20.453125" bestFit="1" customWidth="1"/>
    <col min="13" max="14" width="20.26953125" bestFit="1" customWidth="1"/>
  </cols>
  <sheetData>
    <row r="1" spans="1:10" ht="20.5" thickTop="1" x14ac:dyDescent="0.4">
      <c r="A1" s="278" t="s">
        <v>88</v>
      </c>
      <c r="B1" s="279"/>
      <c r="C1" s="279"/>
      <c r="D1" s="279"/>
      <c r="E1" s="279"/>
      <c r="F1" s="279"/>
      <c r="G1" s="279"/>
      <c r="H1" s="279"/>
      <c r="I1" s="142"/>
      <c r="J1" s="1"/>
    </row>
    <row r="2" spans="1:10" ht="20.5" thickBot="1" x14ac:dyDescent="0.45">
      <c r="A2" s="280" t="s">
        <v>89</v>
      </c>
      <c r="B2" s="281"/>
      <c r="C2" s="281"/>
      <c r="D2" s="281"/>
      <c r="E2" s="281"/>
      <c r="F2" s="281"/>
      <c r="G2" s="281"/>
      <c r="H2" s="281"/>
      <c r="I2" s="282"/>
      <c r="J2" s="1"/>
    </row>
    <row r="3" spans="1:10" ht="13.5" thickTop="1" x14ac:dyDescent="0.3">
      <c r="A3" s="6"/>
      <c r="B3" s="21"/>
      <c r="C3" s="21"/>
      <c r="D3" s="7"/>
      <c r="E3" s="7"/>
      <c r="F3" s="7"/>
      <c r="G3" s="7"/>
      <c r="H3" s="7"/>
      <c r="I3" s="8"/>
    </row>
    <row r="4" spans="1:10" ht="13" x14ac:dyDescent="0.3">
      <c r="A4" s="10"/>
      <c r="B4" s="5" t="s">
        <v>1</v>
      </c>
      <c r="C4" s="2"/>
      <c r="E4" s="2"/>
      <c r="F4" s="2"/>
      <c r="G4" s="2"/>
      <c r="H4" s="2"/>
      <c r="I4" s="9"/>
    </row>
    <row r="5" spans="1:10" ht="13" x14ac:dyDescent="0.3">
      <c r="A5" s="34" t="s">
        <v>337</v>
      </c>
      <c r="B5" s="199">
        <v>25</v>
      </c>
      <c r="C5" s="12" t="s">
        <v>252</v>
      </c>
      <c r="E5" s="2"/>
      <c r="F5" s="2"/>
      <c r="G5" s="2"/>
      <c r="H5" s="2"/>
      <c r="I5" s="9"/>
    </row>
    <row r="6" spans="1:10" ht="13" x14ac:dyDescent="0.3">
      <c r="A6" s="34" t="s">
        <v>84</v>
      </c>
      <c r="B6" s="199">
        <v>1</v>
      </c>
      <c r="C6" s="12"/>
      <c r="E6" s="2"/>
      <c r="F6" s="11"/>
      <c r="G6" s="2"/>
      <c r="H6" s="2"/>
      <c r="I6" s="9"/>
    </row>
    <row r="7" spans="1:10" ht="13" x14ac:dyDescent="0.3">
      <c r="A7" s="10"/>
      <c r="B7" s="2"/>
      <c r="C7" s="2"/>
      <c r="E7" s="2"/>
      <c r="F7" s="11"/>
      <c r="G7" s="2"/>
      <c r="H7" s="2"/>
      <c r="I7" s="9"/>
    </row>
    <row r="8" spans="1:10" ht="13" thickBot="1" x14ac:dyDescent="0.3">
      <c r="A8" s="10"/>
      <c r="B8" s="2"/>
      <c r="C8" s="2"/>
      <c r="D8" s="2"/>
      <c r="E8" s="2"/>
      <c r="F8" s="2"/>
      <c r="G8" s="2"/>
      <c r="H8" s="2"/>
      <c r="I8" s="9"/>
    </row>
    <row r="9" spans="1:10" ht="13.5" thickTop="1" x14ac:dyDescent="0.3">
      <c r="A9" s="275" t="s">
        <v>0</v>
      </c>
      <c r="B9" s="284" t="s">
        <v>3</v>
      </c>
      <c r="C9" s="285"/>
      <c r="D9" s="179" t="s">
        <v>338</v>
      </c>
      <c r="E9" s="2"/>
      <c r="F9" s="2"/>
      <c r="G9" s="2"/>
      <c r="H9" s="2"/>
      <c r="I9" s="9"/>
    </row>
    <row r="10" spans="1:10" ht="13.5" thickBot="1" x14ac:dyDescent="0.35">
      <c r="A10" s="283"/>
      <c r="B10" s="201" t="s">
        <v>2</v>
      </c>
      <c r="C10" s="202" t="s">
        <v>32</v>
      </c>
      <c r="D10" s="200" t="s">
        <v>2</v>
      </c>
      <c r="E10" s="2"/>
      <c r="F10" s="2"/>
      <c r="G10" s="2"/>
      <c r="H10" s="2"/>
      <c r="I10" s="9"/>
    </row>
    <row r="11" spans="1:10" ht="13" x14ac:dyDescent="0.3">
      <c r="A11" s="25" t="s">
        <v>33</v>
      </c>
      <c r="B11" s="26" t="s">
        <v>34</v>
      </c>
      <c r="C11" s="26" t="s">
        <v>25</v>
      </c>
      <c r="D11" s="30">
        <f t="shared" ref="D11:D19" si="0">IF($B$5&gt;400,"NOT POSSIBLE",IF($B$6&lt;0.5,"NOT POSSIBLE",(IF($B$6&gt;4,"NOT POSSIBLE",IF($B$5&gt;B36,C36,(1000*D36*(($B$5/100)^0.5)))))))</f>
        <v>156.21190000000001</v>
      </c>
      <c r="E11" s="2"/>
      <c r="F11" s="2"/>
      <c r="G11" s="2"/>
      <c r="H11" s="2"/>
      <c r="I11" s="9"/>
    </row>
    <row r="12" spans="1:10" ht="13" x14ac:dyDescent="0.3">
      <c r="A12" s="23" t="s">
        <v>35</v>
      </c>
      <c r="B12" s="19" t="s">
        <v>36</v>
      </c>
      <c r="C12" s="19" t="s">
        <v>25</v>
      </c>
      <c r="D12" s="30">
        <f t="shared" si="0"/>
        <v>500.77500000000003</v>
      </c>
      <c r="E12" s="2"/>
      <c r="F12" s="2"/>
      <c r="G12" s="2"/>
      <c r="H12" s="2"/>
      <c r="I12" s="9"/>
    </row>
    <row r="13" spans="1:10" ht="13" x14ac:dyDescent="0.3">
      <c r="A13" s="22" t="s">
        <v>37</v>
      </c>
      <c r="B13" s="18" t="s">
        <v>38</v>
      </c>
      <c r="C13" s="18" t="s">
        <v>25</v>
      </c>
      <c r="D13" s="30">
        <f t="shared" si="0"/>
        <v>262.64370000000002</v>
      </c>
      <c r="E13" s="2"/>
      <c r="F13" s="2"/>
      <c r="G13" s="2"/>
      <c r="H13" s="2"/>
      <c r="I13" s="9"/>
    </row>
    <row r="14" spans="1:10" ht="13" x14ac:dyDescent="0.3">
      <c r="A14" s="23" t="s">
        <v>39</v>
      </c>
      <c r="B14" s="19" t="s">
        <v>40</v>
      </c>
      <c r="C14" s="19" t="s">
        <v>41</v>
      </c>
      <c r="D14" s="30">
        <f t="shared" si="0"/>
        <v>576.99730000000011</v>
      </c>
      <c r="E14" s="2"/>
      <c r="F14" s="2"/>
      <c r="G14" s="2"/>
      <c r="H14" s="2"/>
      <c r="I14" s="9"/>
    </row>
    <row r="15" spans="1:10" ht="13" x14ac:dyDescent="0.3">
      <c r="A15" s="22" t="s">
        <v>42</v>
      </c>
      <c r="B15" s="18" t="s">
        <v>43</v>
      </c>
      <c r="C15" s="18" t="s">
        <v>25</v>
      </c>
      <c r="D15" s="30">
        <f t="shared" si="0"/>
        <v>485.76899999999995</v>
      </c>
      <c r="E15" s="2"/>
      <c r="F15" s="2"/>
      <c r="G15" s="2"/>
      <c r="H15" s="2"/>
      <c r="I15" s="9"/>
    </row>
    <row r="16" spans="1:10" ht="13" x14ac:dyDescent="0.3">
      <c r="A16" s="23" t="s">
        <v>44</v>
      </c>
      <c r="B16" s="19" t="s">
        <v>40</v>
      </c>
      <c r="C16" s="19" t="s">
        <v>25</v>
      </c>
      <c r="D16" s="30">
        <f t="shared" si="0"/>
        <v>576.99730000000011</v>
      </c>
      <c r="E16" s="2"/>
      <c r="F16" s="2"/>
      <c r="G16" s="2"/>
      <c r="H16" s="2"/>
      <c r="I16" s="9"/>
    </row>
    <row r="17" spans="1:9" ht="13" x14ac:dyDescent="0.3">
      <c r="A17" s="22" t="s">
        <v>23</v>
      </c>
      <c r="B17" s="18" t="s">
        <v>45</v>
      </c>
      <c r="C17" s="18" t="s">
        <v>25</v>
      </c>
      <c r="D17" s="30">
        <f t="shared" si="0"/>
        <v>920.90150000000006</v>
      </c>
      <c r="E17" s="2"/>
      <c r="F17" s="2"/>
      <c r="G17" s="2"/>
      <c r="H17" s="2"/>
      <c r="I17" s="9"/>
    </row>
    <row r="18" spans="1:9" ht="13" x14ac:dyDescent="0.3">
      <c r="A18" s="23" t="s">
        <v>26</v>
      </c>
      <c r="B18" s="19" t="s">
        <v>46</v>
      </c>
      <c r="C18" s="19" t="s">
        <v>12</v>
      </c>
      <c r="D18" s="30">
        <f t="shared" si="0"/>
        <v>3538.0520000000001</v>
      </c>
      <c r="E18" s="2"/>
      <c r="F18" s="2"/>
      <c r="G18" s="2"/>
      <c r="H18" s="2"/>
      <c r="I18" s="9"/>
    </row>
    <row r="19" spans="1:9" ht="13.5" thickBot="1" x14ac:dyDescent="0.35">
      <c r="A19" s="24" t="s">
        <v>29</v>
      </c>
      <c r="B19" s="20" t="s">
        <v>47</v>
      </c>
      <c r="C19" s="20" t="s">
        <v>48</v>
      </c>
      <c r="D19" s="47">
        <f t="shared" si="0"/>
        <v>4336.6130000000012</v>
      </c>
      <c r="E19" s="2"/>
      <c r="F19" s="2"/>
      <c r="G19" s="2"/>
      <c r="H19" s="2"/>
      <c r="I19" s="9"/>
    </row>
    <row r="20" spans="1:9" ht="13" thickTop="1" x14ac:dyDescent="0.25">
      <c r="A20" s="10"/>
      <c r="B20" s="2"/>
      <c r="C20" s="2"/>
      <c r="D20" s="233" t="s">
        <v>376</v>
      </c>
      <c r="E20" s="2"/>
      <c r="F20" s="2"/>
      <c r="G20" s="2"/>
      <c r="H20" s="2"/>
      <c r="I20" s="9"/>
    </row>
    <row r="21" spans="1:9" x14ac:dyDescent="0.25">
      <c r="A21" s="10"/>
      <c r="B21" s="2"/>
      <c r="C21" s="2"/>
      <c r="D21" s="234" t="s">
        <v>377</v>
      </c>
      <c r="E21" s="2"/>
      <c r="F21" s="2"/>
      <c r="G21" s="2"/>
      <c r="H21" s="2"/>
      <c r="I21" s="9"/>
    </row>
    <row r="22" spans="1:9" x14ac:dyDescent="0.25">
      <c r="A22" s="10"/>
      <c r="B22" s="2"/>
      <c r="C22" s="2"/>
      <c r="E22" s="2"/>
      <c r="F22" s="2"/>
      <c r="G22" s="2"/>
      <c r="H22" s="2"/>
      <c r="I22" s="9"/>
    </row>
    <row r="23" spans="1:9" x14ac:dyDescent="0.25">
      <c r="A23" s="10"/>
      <c r="B23" s="2"/>
      <c r="C23" s="2"/>
      <c r="E23" s="2"/>
      <c r="F23" s="2"/>
      <c r="G23" s="2"/>
      <c r="H23" s="2"/>
      <c r="I23" s="9"/>
    </row>
    <row r="24" spans="1:9" x14ac:dyDescent="0.25">
      <c r="A24" s="10"/>
      <c r="B24" s="2"/>
      <c r="C24" s="2"/>
      <c r="E24" s="2"/>
      <c r="F24" s="2"/>
      <c r="G24" s="2"/>
      <c r="H24" s="2"/>
      <c r="I24" s="9"/>
    </row>
    <row r="25" spans="1:9" x14ac:dyDescent="0.25">
      <c r="A25" s="10"/>
      <c r="B25" s="2"/>
      <c r="C25" s="2"/>
      <c r="E25" s="2"/>
      <c r="F25" s="2"/>
      <c r="G25" s="2"/>
      <c r="H25" s="2"/>
      <c r="I25" s="9"/>
    </row>
    <row r="26" spans="1:9" x14ac:dyDescent="0.25">
      <c r="A26" s="10"/>
      <c r="B26" s="2"/>
      <c r="C26" s="2"/>
      <c r="E26" s="2"/>
      <c r="F26" s="2"/>
      <c r="G26" s="2"/>
      <c r="H26" s="2"/>
      <c r="I26" s="9"/>
    </row>
    <row r="27" spans="1:9" x14ac:dyDescent="0.25">
      <c r="A27" s="10"/>
      <c r="B27" s="2"/>
      <c r="C27" s="2"/>
      <c r="E27" s="2"/>
      <c r="F27" s="2"/>
      <c r="G27" s="2"/>
      <c r="H27" s="2"/>
      <c r="I27" s="9"/>
    </row>
    <row r="28" spans="1:9" x14ac:dyDescent="0.25">
      <c r="A28" s="10"/>
      <c r="B28" s="2"/>
      <c r="C28" s="2"/>
      <c r="E28" s="2"/>
      <c r="F28" s="2"/>
      <c r="G28" s="2"/>
      <c r="H28" s="2"/>
      <c r="I28" s="9"/>
    </row>
    <row r="29" spans="1:9" x14ac:dyDescent="0.25">
      <c r="A29" s="10"/>
      <c r="B29" s="2"/>
      <c r="C29" s="2"/>
      <c r="E29" s="2"/>
      <c r="F29" s="2"/>
      <c r="G29" s="2"/>
      <c r="H29" s="2"/>
      <c r="I29" s="9"/>
    </row>
    <row r="30" spans="1:9" x14ac:dyDescent="0.25">
      <c r="A30" s="10"/>
      <c r="B30" s="2"/>
      <c r="C30" s="2"/>
      <c r="E30" s="2"/>
      <c r="F30" s="2"/>
      <c r="G30" s="2"/>
      <c r="H30" s="2"/>
      <c r="I30" s="9"/>
    </row>
    <row r="31" spans="1:9" x14ac:dyDescent="0.25">
      <c r="A31" s="10"/>
      <c r="B31" s="2"/>
      <c r="C31" s="2"/>
      <c r="E31" s="2"/>
      <c r="F31" s="2"/>
      <c r="G31" s="2"/>
      <c r="H31" s="2"/>
      <c r="I31" s="9"/>
    </row>
    <row r="32" spans="1:9" x14ac:dyDescent="0.25">
      <c r="A32" s="10"/>
      <c r="B32" s="2"/>
      <c r="C32" s="2"/>
      <c r="D32" s="13"/>
      <c r="E32" s="2"/>
      <c r="F32" s="2"/>
      <c r="G32" s="2"/>
      <c r="H32" s="2"/>
      <c r="I32" s="9"/>
    </row>
    <row r="33" spans="1:9" ht="13" thickBot="1" x14ac:dyDescent="0.3">
      <c r="A33" s="14" t="s">
        <v>6</v>
      </c>
      <c r="B33" s="15"/>
      <c r="C33" s="15"/>
      <c r="D33" s="15"/>
      <c r="E33" s="15"/>
      <c r="F33" s="15"/>
      <c r="G33" s="15"/>
      <c r="H33" s="15"/>
      <c r="I33" s="16"/>
    </row>
    <row r="34" spans="1:9" ht="10.5" customHeight="1" thickTop="1" x14ac:dyDescent="0.25"/>
    <row r="35" spans="1:9" ht="13.5" hidden="1" thickTop="1" thickBot="1" x14ac:dyDescent="0.3">
      <c r="A35" s="40" t="s">
        <v>59</v>
      </c>
      <c r="B35" s="41" t="s">
        <v>85</v>
      </c>
      <c r="C35" s="42" t="s">
        <v>86</v>
      </c>
      <c r="D35" s="37" t="s">
        <v>87</v>
      </c>
      <c r="E35" s="36" t="s">
        <v>5</v>
      </c>
      <c r="F35" s="37" t="s">
        <v>58</v>
      </c>
    </row>
    <row r="36" spans="1:9" hidden="1" x14ac:dyDescent="0.25">
      <c r="A36" s="25" t="s">
        <v>33</v>
      </c>
      <c r="B36" s="43">
        <f>-0.0686*$B$6^3+0.4452*$B$6^2-0.2932*$B$6+14.435</f>
        <v>14.5184</v>
      </c>
      <c r="C36" s="43">
        <f>-0.041*$B$6^3+0.1233*$B$6^2+156.5*$B$6-0.3704</f>
        <v>156.21190000000001</v>
      </c>
      <c r="D36" s="45">
        <f>(C36/1000)/((B36/100)^0.5)</f>
        <v>0.40997250916488626</v>
      </c>
      <c r="E36" s="38">
        <v>0.5</v>
      </c>
      <c r="F36" s="3">
        <v>292</v>
      </c>
    </row>
    <row r="37" spans="1:9" hidden="1" x14ac:dyDescent="0.25">
      <c r="A37" s="23" t="s">
        <v>35</v>
      </c>
      <c r="B37" s="43">
        <f>0.0667*$B$6^3-0.7*$B$6^2+3.433*$B$6+11.2</f>
        <v>13.999699999999999</v>
      </c>
      <c r="C37" s="43">
        <f>-13.448*$B$6^3+43.791*$B$6^2+471.2*$B$6-0.768</f>
        <v>500.77500000000003</v>
      </c>
      <c r="D37" s="45">
        <f t="shared" ref="D37:D44" si="1">(C37/1000)/((B37/100)^0.5)</f>
        <v>1.3383918241761672</v>
      </c>
      <c r="E37" s="38">
        <v>1</v>
      </c>
      <c r="F37" s="3">
        <v>577</v>
      </c>
    </row>
    <row r="38" spans="1:9" hidden="1" x14ac:dyDescent="0.25">
      <c r="A38" s="22" t="s">
        <v>37</v>
      </c>
      <c r="B38" s="43">
        <f>-0.05*$B$6^3+0.3*$B$6^2+0.05*$B$6+14.2</f>
        <v>14.5</v>
      </c>
      <c r="C38" s="43">
        <f>0.0164*$B$6^3-0.2339*$B$6^2+263.29*$B$6-0.4288</f>
        <v>262.64370000000002</v>
      </c>
      <c r="D38" s="45">
        <f t="shared" si="1"/>
        <v>0.68973614720158238</v>
      </c>
      <c r="E38" s="38">
        <v>2</v>
      </c>
      <c r="F38" s="3">
        <v>1152</v>
      </c>
    </row>
    <row r="39" spans="1:9" hidden="1" x14ac:dyDescent="0.25">
      <c r="A39" s="23" t="s">
        <v>39</v>
      </c>
      <c r="B39" s="43">
        <f>0.2333*$B$6^3-2.3*$B$6^2+9.2667*$B$6+6.8</f>
        <v>14</v>
      </c>
      <c r="C39" s="43">
        <f>-6.8048*$B$6^4+37.715*$B$6^3-69.668*$B$6^2+622.07*$B$6-6.3149</f>
        <v>576.99730000000011</v>
      </c>
      <c r="D39" s="45">
        <f t="shared" si="1"/>
        <v>1.5420901497811574</v>
      </c>
      <c r="E39" s="38">
        <v>3</v>
      </c>
      <c r="F39" s="3">
        <v>1700</v>
      </c>
    </row>
    <row r="40" spans="1:9" ht="13" hidden="1" thickBot="1" x14ac:dyDescent="0.3">
      <c r="A40" s="22" t="s">
        <v>42</v>
      </c>
      <c r="B40" s="43">
        <f>-0.0167*$B$6^3+0.05*$B$6^2+0.7667*$B$6+13.2</f>
        <v>14</v>
      </c>
      <c r="C40" s="43">
        <f>-17.27*$B$6^3+67.206*$B$6^2+438.739*$B$6-2.906</f>
        <v>485.76899999999995</v>
      </c>
      <c r="D40" s="45">
        <f t="shared" si="1"/>
        <v>1.2982722622255647</v>
      </c>
      <c r="E40" s="39">
        <v>4</v>
      </c>
      <c r="F40" s="4">
        <v>2039</v>
      </c>
    </row>
    <row r="41" spans="1:9" ht="13" hidden="1" thickTop="1" x14ac:dyDescent="0.25">
      <c r="A41" s="23" t="s">
        <v>44</v>
      </c>
      <c r="B41" s="43">
        <f>0.2333*$B$6^3-2.3*$B$6^2+9.2667*$B$6+6.8</f>
        <v>14</v>
      </c>
      <c r="C41" s="43">
        <f>-6.8048*$B$6^4+37.715*$B$6^3-69.668*$B$6^2+622.07*$B$6-6.3149</f>
        <v>576.99730000000011</v>
      </c>
      <c r="D41" s="45">
        <f t="shared" si="1"/>
        <v>1.5420901497811574</v>
      </c>
      <c r="E41" s="48"/>
      <c r="F41" s="49"/>
    </row>
    <row r="42" spans="1:9" hidden="1" x14ac:dyDescent="0.25">
      <c r="A42" s="22" t="s">
        <v>23</v>
      </c>
      <c r="B42" s="43">
        <f>0.0833*$B$6^3-0.75*$B$6^2+3.1667*$B$6+12</f>
        <v>14.5</v>
      </c>
      <c r="C42" s="43">
        <f>-23.068*$B$6^3+69.731*$B$6^2+847.4845*$B$6+26.754</f>
        <v>920.90150000000006</v>
      </c>
      <c r="D42" s="45">
        <f t="shared" si="1"/>
        <v>2.4184058196033562</v>
      </c>
      <c r="E42" s="48"/>
      <c r="F42" s="49"/>
    </row>
    <row r="43" spans="1:9" hidden="1" x14ac:dyDescent="0.25">
      <c r="A43" s="23" t="s">
        <v>26</v>
      </c>
      <c r="B43" s="43">
        <f>-0.6967*$B$6^3+4.5857*$B$6^2-5.0754*$B$6+17.555</f>
        <v>16.368600000000001</v>
      </c>
      <c r="C43" s="43">
        <f>15.37*$B$6^5-163.91*$B$6^4+646.94*$B$6^3-1681*$B$6^2+4699.3*$B$6+21.352</f>
        <v>3538.0520000000001</v>
      </c>
      <c r="D43" s="45">
        <f t="shared" si="1"/>
        <v>8.7449724096372101</v>
      </c>
      <c r="E43" s="48"/>
    </row>
    <row r="44" spans="1:9" ht="13" hidden="1" thickBot="1" x14ac:dyDescent="0.3">
      <c r="A44" s="24" t="s">
        <v>29</v>
      </c>
      <c r="B44" s="43">
        <f>0.1399*$B$6^3-1.8919*$B$6^2+9.7091*$B$6+14.408</f>
        <v>22.365099999999998</v>
      </c>
      <c r="C44" s="43">
        <f>-23.017*$B$6^5+256.6*$B$6^4-928.73*$B$6^3+429.48*$B$6^2+4810.1*$B$6-207.82</f>
        <v>4336.6130000000012</v>
      </c>
      <c r="D44" s="45">
        <f t="shared" si="1"/>
        <v>9.1699136312567475</v>
      </c>
    </row>
    <row r="45" spans="1:9" ht="13" hidden="1" thickTop="1" x14ac:dyDescent="0.25"/>
    <row r="46" spans="1:9" hidden="1" x14ac:dyDescent="0.25"/>
    <row r="47" spans="1:9" hidden="1" x14ac:dyDescent="0.25"/>
    <row r="48" spans="1:9" hidden="1" x14ac:dyDescent="0.25"/>
    <row r="49" hidden="1" x14ac:dyDescent="0.25"/>
    <row r="50" hidden="1" x14ac:dyDescent="0.25"/>
    <row r="51" hidden="1" x14ac:dyDescent="0.25"/>
    <row r="52" hidden="1" x14ac:dyDescent="0.25"/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2" hidden="1" x14ac:dyDescent="0.25"/>
    <row r="63" hidden="1" x14ac:dyDescent="0.25"/>
    <row r="64" hidden="1" x14ac:dyDescent="0.25"/>
  </sheetData>
  <sheetProtection algorithmName="SHA-512" hashValue="fVGIMvMMvI+4Nr1HEwFjXn6fsh0ffTdrxhSu4njq9I3wjbYH+aVgaSAS1mFwHLM5/Kso5ln24l6ucOkZ1ODxLA==" saltValue="T4eRSy/5JBSU+O1uvHbB5Q==" spinCount="100000" sheet="1" objects="1" scenarios="1"/>
  <mergeCells count="4">
    <mergeCell ref="A1:H1"/>
    <mergeCell ref="A2:I2"/>
    <mergeCell ref="A9:A10"/>
    <mergeCell ref="B9:C9"/>
  </mergeCells>
  <phoneticPr fontId="0" type="noConversion"/>
  <conditionalFormatting sqref="D21">
    <cfRule type="cellIs" dxfId="87" priority="10" operator="equal">
      <formula>"Outside DP-range"</formula>
    </cfRule>
    <cfRule type="cellIs" dxfId="86" priority="11" operator="equal">
      <formula>"Under DP område"</formula>
    </cfRule>
  </conditionalFormatting>
  <conditionalFormatting sqref="D11">
    <cfRule type="cellIs" dxfId="85" priority="9" operator="lessThan">
      <formula>$C$36</formula>
    </cfRule>
  </conditionalFormatting>
  <conditionalFormatting sqref="D12">
    <cfRule type="cellIs" dxfId="84" priority="8" operator="lessThan">
      <formula>$C$37</formula>
    </cfRule>
  </conditionalFormatting>
  <conditionalFormatting sqref="D13">
    <cfRule type="cellIs" dxfId="83" priority="7" operator="lessThan">
      <formula>$C$38</formula>
    </cfRule>
  </conditionalFormatting>
  <conditionalFormatting sqref="D14">
    <cfRule type="cellIs" dxfId="82" priority="6" operator="lessThan">
      <formula>$C$39</formula>
    </cfRule>
  </conditionalFormatting>
  <conditionalFormatting sqref="D15">
    <cfRule type="cellIs" dxfId="81" priority="5" operator="lessThan">
      <formula>$C$40</formula>
    </cfRule>
  </conditionalFormatting>
  <conditionalFormatting sqref="D16">
    <cfRule type="cellIs" dxfId="80" priority="4" operator="lessThan">
      <formula>$C$41</formula>
    </cfRule>
  </conditionalFormatting>
  <conditionalFormatting sqref="D17">
    <cfRule type="cellIs" dxfId="79" priority="3" operator="lessThan">
      <formula>$C$42</formula>
    </cfRule>
  </conditionalFormatting>
  <conditionalFormatting sqref="D18">
    <cfRule type="cellIs" dxfId="78" priority="2" operator="lessThan">
      <formula>$C$43</formula>
    </cfRule>
  </conditionalFormatting>
  <conditionalFormatting sqref="D19">
    <cfRule type="cellIs" dxfId="77" priority="1" operator="lessThan">
      <formula>$C$44</formula>
    </cfRule>
  </conditionalFormatting>
  <pageMargins left="0.78740157480314965" right="0.39370078740157483" top="0.98425196850393704" bottom="0.98425196850393704" header="0.51181102362204722" footer="0.51181102362204722"/>
  <pageSetup paperSize="9" scale="105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3"/>
  <sheetViews>
    <sheetView showGridLines="0" zoomScaleNormal="100" workbookViewId="0">
      <selection activeCell="K38" sqref="K38"/>
    </sheetView>
  </sheetViews>
  <sheetFormatPr baseColWidth="10" defaultColWidth="8.81640625" defaultRowHeight="12.5" x14ac:dyDescent="0.25"/>
  <cols>
    <col min="1" max="1" width="23.7265625" customWidth="1"/>
    <col min="2" max="2" width="14.26953125" customWidth="1"/>
    <col min="3" max="4" width="15.7265625" customWidth="1"/>
    <col min="5" max="6" width="10.7265625" customWidth="1"/>
    <col min="7" max="7" width="7.1796875" customWidth="1"/>
    <col min="8" max="8" width="10.7265625" customWidth="1"/>
    <col min="9" max="9" width="20.453125" bestFit="1" customWidth="1"/>
    <col min="13" max="14" width="20.26953125" bestFit="1" customWidth="1"/>
  </cols>
  <sheetData>
    <row r="1" spans="1:14" ht="20.5" thickTop="1" x14ac:dyDescent="0.4">
      <c r="A1" s="278" t="s">
        <v>82</v>
      </c>
      <c r="B1" s="279"/>
      <c r="C1" s="279"/>
      <c r="D1" s="279"/>
      <c r="E1" s="279"/>
      <c r="F1" s="279"/>
      <c r="G1" s="279"/>
      <c r="H1" s="279"/>
      <c r="I1" s="142"/>
      <c r="J1" s="1"/>
    </row>
    <row r="2" spans="1:14" ht="20.5" thickBot="1" x14ac:dyDescent="0.45">
      <c r="A2" s="280" t="s">
        <v>83</v>
      </c>
      <c r="B2" s="281"/>
      <c r="C2" s="281"/>
      <c r="D2" s="281"/>
      <c r="E2" s="281"/>
      <c r="F2" s="281"/>
      <c r="G2" s="281"/>
      <c r="H2" s="281"/>
      <c r="I2" s="282"/>
      <c r="J2" s="1"/>
    </row>
    <row r="3" spans="1:14" ht="13.5" thickTop="1" x14ac:dyDescent="0.3">
      <c r="A3" s="6"/>
      <c r="B3" s="21"/>
      <c r="C3" s="21"/>
      <c r="D3" s="7"/>
      <c r="E3" s="7"/>
      <c r="F3" s="7"/>
      <c r="G3" s="7"/>
      <c r="H3" s="7"/>
      <c r="I3" s="8"/>
    </row>
    <row r="4" spans="1:14" ht="13" x14ac:dyDescent="0.3">
      <c r="A4" s="10"/>
      <c r="B4" s="5" t="s">
        <v>1</v>
      </c>
      <c r="C4" s="2"/>
      <c r="E4" s="2"/>
      <c r="F4" s="2"/>
      <c r="G4" s="2"/>
      <c r="H4" s="2"/>
      <c r="I4" s="9"/>
    </row>
    <row r="5" spans="1:14" ht="13" x14ac:dyDescent="0.3">
      <c r="A5" s="34" t="s">
        <v>337</v>
      </c>
      <c r="B5" s="199">
        <v>20</v>
      </c>
      <c r="C5" s="12" t="s">
        <v>252</v>
      </c>
      <c r="E5" s="2"/>
      <c r="F5" s="2"/>
      <c r="G5" s="2"/>
      <c r="H5" s="2"/>
      <c r="I5" s="9"/>
    </row>
    <row r="6" spans="1:14" ht="13" x14ac:dyDescent="0.3">
      <c r="A6" s="34" t="s">
        <v>84</v>
      </c>
      <c r="B6" s="199">
        <v>4</v>
      </c>
      <c r="C6" s="12"/>
      <c r="E6" s="2"/>
      <c r="F6" s="11"/>
      <c r="G6" s="2"/>
      <c r="H6" s="2"/>
      <c r="I6" s="9"/>
    </row>
    <row r="7" spans="1:14" ht="13" x14ac:dyDescent="0.3">
      <c r="A7" s="10"/>
      <c r="B7" s="2"/>
      <c r="C7" s="2"/>
      <c r="E7" s="2"/>
      <c r="F7" s="11"/>
      <c r="G7" s="2"/>
      <c r="H7" s="2"/>
      <c r="I7" s="9"/>
    </row>
    <row r="8" spans="1:14" ht="13" thickBot="1" x14ac:dyDescent="0.3">
      <c r="A8" s="10"/>
      <c r="B8" s="2"/>
      <c r="C8" s="2"/>
      <c r="D8" s="2"/>
      <c r="E8" s="2"/>
      <c r="F8" s="2"/>
      <c r="G8" s="2"/>
      <c r="H8" s="2"/>
      <c r="I8" s="9"/>
    </row>
    <row r="9" spans="1:14" ht="13.5" thickTop="1" x14ac:dyDescent="0.3">
      <c r="A9" s="286" t="s">
        <v>0</v>
      </c>
      <c r="B9" s="277" t="s">
        <v>3</v>
      </c>
      <c r="C9" s="277"/>
      <c r="D9" s="205" t="s">
        <v>338</v>
      </c>
      <c r="E9" s="2"/>
      <c r="F9" s="2"/>
      <c r="G9" s="2"/>
      <c r="H9" s="2"/>
      <c r="I9" s="9"/>
    </row>
    <row r="10" spans="1:14" ht="13" x14ac:dyDescent="0.3">
      <c r="A10" s="287"/>
      <c r="B10" s="119" t="s">
        <v>2</v>
      </c>
      <c r="C10" s="119" t="s">
        <v>32</v>
      </c>
      <c r="D10" s="211" t="s">
        <v>2</v>
      </c>
      <c r="E10" s="2"/>
      <c r="F10" s="2"/>
      <c r="G10" s="2"/>
      <c r="H10" s="2"/>
      <c r="I10" s="9"/>
    </row>
    <row r="11" spans="1:14" ht="13" x14ac:dyDescent="0.3">
      <c r="A11" s="214" t="s">
        <v>49</v>
      </c>
      <c r="B11" s="215" t="s">
        <v>60</v>
      </c>
      <c r="C11" s="215" t="s">
        <v>452</v>
      </c>
      <c r="D11" s="55">
        <f>IF($B$5&gt;800,"NOT POSSIBLE",IF($B$6&lt;0.5,"NOT POSSIBLE",(IF($B$6&gt;4,"NOT POSSIBLE",IF($B$5&gt;B40,C40,(1000*D40*(($B$5/100)^0.5)))))))</f>
        <v>199.96</v>
      </c>
      <c r="E11" s="2"/>
      <c r="F11" s="2"/>
      <c r="G11" s="2"/>
      <c r="H11" s="2"/>
      <c r="I11" s="9"/>
    </row>
    <row r="12" spans="1:14" ht="13" x14ac:dyDescent="0.3">
      <c r="A12" s="216" t="s">
        <v>50</v>
      </c>
      <c r="B12" s="194" t="s">
        <v>61</v>
      </c>
      <c r="C12" s="194" t="s">
        <v>452</v>
      </c>
      <c r="D12" s="55">
        <f>IF($B$5&gt;800,"NOT POSSIBLE",IF($B$6&lt;0.6,"NOT POSSIBLE",(IF($B$6&gt;4,"NOT POSSIBLE",IF($B$5&gt;B41,C41,(1000*D41*(($B$5/100)^0.5)))))))</f>
        <v>369.97860000000003</v>
      </c>
      <c r="E12" s="2"/>
      <c r="F12" s="2"/>
      <c r="G12" s="2"/>
      <c r="H12" s="2"/>
      <c r="I12" s="9"/>
    </row>
    <row r="13" spans="1:14" ht="13" x14ac:dyDescent="0.3">
      <c r="A13" s="214" t="s">
        <v>51</v>
      </c>
      <c r="B13" s="215" t="s">
        <v>60</v>
      </c>
      <c r="C13" s="215" t="s">
        <v>452</v>
      </c>
      <c r="D13" s="55">
        <f>IF($B$5&gt;800,"NOT POSSIBLE",IF($B$6&lt;0.5,"NOT POSSIBLE",(IF($B$6&gt;4,"NOT POSSIBLE",IF($B$5&gt;B42,C42,(1000*D42*(($B$5/100)^0.5)))))))</f>
        <v>199.96</v>
      </c>
      <c r="E13" s="2"/>
      <c r="F13" s="2"/>
      <c r="G13" s="2"/>
      <c r="H13" s="2"/>
      <c r="I13" s="9"/>
    </row>
    <row r="14" spans="1:14" ht="13" x14ac:dyDescent="0.3">
      <c r="A14" s="216" t="s">
        <v>52</v>
      </c>
      <c r="B14" s="194" t="s">
        <v>61</v>
      </c>
      <c r="C14" s="194" t="s">
        <v>452</v>
      </c>
      <c r="D14" s="55">
        <f t="shared" ref="D14:D23" si="0">IF($B$5&gt;800,"NOT POSSIBLE",IF($B$6&lt;0.6,"NOT POSSIBLE",(IF($B$6&gt;4,"NOT POSSIBLE",IF($B$5&gt;B43,C43,(1000*D43*(($B$5/100)^0.5)))))))</f>
        <v>369.97860000000003</v>
      </c>
      <c r="E14" s="2"/>
      <c r="F14" s="2"/>
      <c r="G14" s="2"/>
      <c r="H14" s="2"/>
      <c r="I14" s="9"/>
    </row>
    <row r="15" spans="1:14" ht="13" x14ac:dyDescent="0.3">
      <c r="A15" s="214" t="s">
        <v>53</v>
      </c>
      <c r="B15" s="215" t="s">
        <v>62</v>
      </c>
      <c r="C15" s="215" t="s">
        <v>444</v>
      </c>
      <c r="D15" s="55">
        <f t="shared" si="0"/>
        <v>574.95860000000005</v>
      </c>
      <c r="E15" s="2"/>
      <c r="F15" s="2"/>
      <c r="G15" s="2"/>
      <c r="H15" s="2"/>
      <c r="I15" s="9"/>
      <c r="N15" s="251"/>
    </row>
    <row r="16" spans="1:14" ht="13" x14ac:dyDescent="0.3">
      <c r="A16" s="216" t="s">
        <v>367</v>
      </c>
      <c r="B16" s="194" t="s">
        <v>64</v>
      </c>
      <c r="C16" s="194" t="s">
        <v>446</v>
      </c>
      <c r="D16" s="55">
        <f t="shared" si="0"/>
        <v>1279.9514533829745</v>
      </c>
      <c r="E16" s="2"/>
      <c r="F16" s="2"/>
      <c r="G16" s="2"/>
      <c r="H16" s="2"/>
      <c r="I16" s="9"/>
      <c r="N16" s="251"/>
    </row>
    <row r="17" spans="1:14" ht="13" x14ac:dyDescent="0.3">
      <c r="A17" s="217" t="s">
        <v>54</v>
      </c>
      <c r="B17" s="209" t="s">
        <v>62</v>
      </c>
      <c r="C17" s="209" t="s">
        <v>444</v>
      </c>
      <c r="D17" s="55">
        <f t="shared" si="0"/>
        <v>574.95860000000005</v>
      </c>
      <c r="E17" s="2"/>
      <c r="F17" s="2"/>
      <c r="G17" s="2"/>
      <c r="H17" s="2"/>
      <c r="I17" s="9"/>
      <c r="N17" s="251"/>
    </row>
    <row r="18" spans="1:14" ht="13" x14ac:dyDescent="0.3">
      <c r="A18" s="216" t="s">
        <v>55</v>
      </c>
      <c r="B18" s="194" t="s">
        <v>63</v>
      </c>
      <c r="C18" s="194" t="s">
        <v>444</v>
      </c>
      <c r="D18" s="55">
        <f t="shared" si="0"/>
        <v>975.48542158525868</v>
      </c>
      <c r="E18" s="2"/>
      <c r="F18" s="2"/>
      <c r="G18" s="2"/>
      <c r="H18" s="2"/>
      <c r="I18" s="9"/>
    </row>
    <row r="19" spans="1:14" ht="13" x14ac:dyDescent="0.3">
      <c r="A19" s="217" t="s">
        <v>56</v>
      </c>
      <c r="B19" s="209" t="s">
        <v>64</v>
      </c>
      <c r="C19" s="209" t="s">
        <v>446</v>
      </c>
      <c r="D19" s="55">
        <f t="shared" si="0"/>
        <v>1279.9514533829745</v>
      </c>
      <c r="E19" s="2"/>
      <c r="F19" s="2"/>
      <c r="G19" s="2"/>
      <c r="H19" s="2"/>
      <c r="I19" s="9"/>
    </row>
    <row r="20" spans="1:14" ht="13" x14ac:dyDescent="0.3">
      <c r="A20" s="216" t="s">
        <v>424</v>
      </c>
      <c r="B20" s="194" t="s">
        <v>427</v>
      </c>
      <c r="C20" s="194" t="s">
        <v>453</v>
      </c>
      <c r="D20" s="55">
        <f t="shared" si="0"/>
        <v>1272.7922061357856</v>
      </c>
      <c r="E20" s="2"/>
      <c r="F20" s="2"/>
      <c r="G20" s="2"/>
      <c r="H20" s="2"/>
      <c r="I20" s="9"/>
    </row>
    <row r="21" spans="1:14" ht="13" x14ac:dyDescent="0.3">
      <c r="A21" s="217" t="s">
        <v>425</v>
      </c>
      <c r="B21" s="209" t="s">
        <v>428</v>
      </c>
      <c r="C21" s="209" t="s">
        <v>444</v>
      </c>
      <c r="D21" s="55">
        <f t="shared" si="0"/>
        <v>1282.5152590164612</v>
      </c>
      <c r="E21" s="2"/>
      <c r="F21" s="2"/>
      <c r="G21" s="2"/>
      <c r="H21" s="2"/>
      <c r="I21" s="9"/>
    </row>
    <row r="22" spans="1:14" ht="13" x14ac:dyDescent="0.3">
      <c r="A22" s="216" t="s">
        <v>426</v>
      </c>
      <c r="B22" s="194" t="s">
        <v>80</v>
      </c>
      <c r="C22" s="194" t="s">
        <v>454</v>
      </c>
      <c r="D22" s="55">
        <f t="shared" si="0"/>
        <v>3365.7171715794807</v>
      </c>
      <c r="E22" s="2"/>
      <c r="F22" s="2"/>
      <c r="G22" s="2"/>
      <c r="H22" s="2"/>
      <c r="I22" s="9"/>
    </row>
    <row r="23" spans="1:14" ht="13" x14ac:dyDescent="0.3">
      <c r="A23" s="217" t="s">
        <v>357</v>
      </c>
      <c r="B23" s="209" t="s">
        <v>81</v>
      </c>
      <c r="C23" s="209" t="s">
        <v>453</v>
      </c>
      <c r="D23" s="55">
        <f t="shared" si="0"/>
        <v>3381.6191805573058</v>
      </c>
      <c r="E23" s="2"/>
      <c r="F23" s="2"/>
      <c r="G23" s="2"/>
      <c r="H23" s="2"/>
      <c r="I23" s="9"/>
    </row>
    <row r="24" spans="1:14" ht="13" x14ac:dyDescent="0.3">
      <c r="A24" s="216" t="s">
        <v>358</v>
      </c>
      <c r="B24" s="194" t="s">
        <v>360</v>
      </c>
      <c r="C24" s="194" t="s">
        <v>455</v>
      </c>
      <c r="D24" s="55">
        <f>IF($B$5&gt;800,"NICHT MÖGLICH",IF($B$6&lt;0.6,"NOT POSSIBLE",(IF($B$6&gt;4,"NOT POSSIBLE",IF($B$5&gt;B53,C53,(1000*D53*(($B$5/100)^0.5)))))))</f>
        <v>7182.9962897255373</v>
      </c>
      <c r="E24" s="2"/>
      <c r="F24" s="2"/>
      <c r="G24" s="2"/>
      <c r="H24" s="2"/>
      <c r="I24" s="9"/>
    </row>
    <row r="25" spans="1:14" ht="13.5" thickBot="1" x14ac:dyDescent="0.35">
      <c r="A25" s="263" t="s">
        <v>359</v>
      </c>
      <c r="B25" s="264" t="s">
        <v>362</v>
      </c>
      <c r="C25" s="264" t="s">
        <v>455</v>
      </c>
      <c r="D25" s="56">
        <f>IF($B$5&gt;800,"NICHT MÖGLICH",IF($B$6&lt;0.6,"NOT POSSIBLE",(IF($B$6&gt;4,"NOT POSSIBLE",IF($B$5&gt;B54,C54,(1000*D54*(($B$5/100)^0.5)))))))</f>
        <v>8570.1807989352237</v>
      </c>
      <c r="E25" s="2"/>
      <c r="F25" s="2"/>
      <c r="G25" s="2"/>
      <c r="H25" s="2"/>
      <c r="I25" s="9"/>
    </row>
    <row r="26" spans="1:14" ht="13" thickTop="1" x14ac:dyDescent="0.25">
      <c r="A26" s="10"/>
      <c r="B26" s="2"/>
      <c r="C26" s="2"/>
      <c r="D26" s="233" t="s">
        <v>376</v>
      </c>
      <c r="E26" s="2"/>
      <c r="F26" s="2"/>
      <c r="G26" s="2"/>
      <c r="H26" s="2"/>
      <c r="I26" s="9"/>
    </row>
    <row r="27" spans="1:14" x14ac:dyDescent="0.25">
      <c r="A27" s="10"/>
      <c r="B27" s="2"/>
      <c r="C27" s="2"/>
      <c r="D27" s="234" t="s">
        <v>377</v>
      </c>
      <c r="E27" s="2"/>
      <c r="F27" s="2"/>
      <c r="G27" s="2"/>
      <c r="H27" s="2"/>
      <c r="I27" s="9"/>
    </row>
    <row r="28" spans="1:14" x14ac:dyDescent="0.25">
      <c r="A28" s="10"/>
      <c r="B28" s="2"/>
      <c r="C28" s="2"/>
      <c r="E28" s="2"/>
      <c r="F28" s="2"/>
      <c r="G28" s="2"/>
      <c r="H28" s="2"/>
      <c r="I28" s="9"/>
    </row>
    <row r="29" spans="1:14" x14ac:dyDescent="0.25">
      <c r="A29" s="10"/>
      <c r="B29" s="2"/>
      <c r="C29" s="2"/>
      <c r="E29" s="2"/>
      <c r="F29" s="2"/>
      <c r="G29" s="2"/>
      <c r="H29" s="2"/>
      <c r="I29" s="9"/>
    </row>
    <row r="30" spans="1:14" x14ac:dyDescent="0.25">
      <c r="A30" s="10"/>
      <c r="B30" s="2"/>
      <c r="C30" s="2"/>
      <c r="E30" s="2"/>
      <c r="F30" s="2"/>
      <c r="G30" s="2"/>
      <c r="H30" s="2"/>
      <c r="I30" s="9"/>
    </row>
    <row r="31" spans="1:14" x14ac:dyDescent="0.25">
      <c r="A31" s="10"/>
      <c r="B31" s="2"/>
      <c r="C31" s="2"/>
      <c r="E31" s="2"/>
      <c r="F31" s="2"/>
      <c r="G31" s="2"/>
      <c r="H31" s="2"/>
      <c r="I31" s="9"/>
    </row>
    <row r="32" spans="1:14" x14ac:dyDescent="0.25">
      <c r="A32" s="10"/>
      <c r="B32" s="2"/>
      <c r="C32" s="2"/>
      <c r="E32" s="2"/>
      <c r="F32" s="2"/>
      <c r="G32" s="2"/>
      <c r="H32" s="2"/>
      <c r="I32" s="9"/>
    </row>
    <row r="33" spans="1:9" x14ac:dyDescent="0.25">
      <c r="A33" s="10"/>
      <c r="B33" s="2"/>
      <c r="C33" s="2"/>
      <c r="E33" s="2"/>
      <c r="F33" s="2"/>
      <c r="G33" s="2"/>
      <c r="H33" s="2"/>
      <c r="I33" s="9"/>
    </row>
    <row r="34" spans="1:9" x14ac:dyDescent="0.25">
      <c r="A34" s="10"/>
      <c r="B34" s="2"/>
      <c r="C34" s="2"/>
      <c r="E34" s="2"/>
      <c r="F34" s="2"/>
      <c r="G34" s="2"/>
      <c r="H34" s="2"/>
      <c r="I34" s="9"/>
    </row>
    <row r="35" spans="1:9" x14ac:dyDescent="0.25">
      <c r="A35" s="10"/>
      <c r="B35" s="2"/>
      <c r="C35" s="2"/>
      <c r="E35" s="2"/>
      <c r="F35" s="2"/>
      <c r="G35" s="2"/>
      <c r="H35" s="2"/>
      <c r="I35" s="9"/>
    </row>
    <row r="36" spans="1:9" x14ac:dyDescent="0.25">
      <c r="A36" s="10"/>
      <c r="B36" s="2"/>
      <c r="C36" s="2"/>
      <c r="D36" s="13"/>
      <c r="E36" s="2"/>
      <c r="F36" s="2"/>
      <c r="G36" s="2"/>
      <c r="H36" s="2"/>
      <c r="I36" s="9"/>
    </row>
    <row r="37" spans="1:9" ht="13" thickBot="1" x14ac:dyDescent="0.3">
      <c r="A37" s="14" t="s">
        <v>57</v>
      </c>
      <c r="B37" s="15"/>
      <c r="C37" s="15"/>
      <c r="D37" s="15"/>
      <c r="E37" s="15"/>
      <c r="F37" s="15"/>
      <c r="G37" s="15"/>
      <c r="H37" s="15"/>
      <c r="I37" s="16"/>
    </row>
    <row r="38" spans="1:9" ht="10.5" customHeight="1" thickTop="1" x14ac:dyDescent="0.25"/>
    <row r="39" spans="1:9" ht="13" hidden="1" thickTop="1" x14ac:dyDescent="0.25">
      <c r="A39" s="40" t="s">
        <v>59</v>
      </c>
      <c r="B39" s="41" t="s">
        <v>85</v>
      </c>
      <c r="C39" s="42" t="s">
        <v>86</v>
      </c>
      <c r="D39" s="37" t="s">
        <v>87</v>
      </c>
      <c r="E39" s="36" t="s">
        <v>5</v>
      </c>
      <c r="F39" s="37" t="s">
        <v>58</v>
      </c>
    </row>
    <row r="40" spans="1:9" ht="13" hidden="1" x14ac:dyDescent="0.25">
      <c r="A40" s="214" t="s">
        <v>49</v>
      </c>
      <c r="B40" s="35">
        <f>-0.0158*$B$6^3+0.1133*$B$6^2+0.2063*$B$6+14.179</f>
        <v>15.8058</v>
      </c>
      <c r="C40" s="43">
        <f>0.071*$B$6^3-0.4496*$B$6^2+49.322*$B$6+5.3216</f>
        <v>199.96</v>
      </c>
      <c r="D40" s="45">
        <f>(C40/1000)/((B40/100)^0.5)</f>
        <v>0.50296166722695457</v>
      </c>
      <c r="E40" s="38">
        <v>0.6</v>
      </c>
      <c r="F40" s="3">
        <v>280</v>
      </c>
    </row>
    <row r="41" spans="1:9" ht="13" hidden="1" x14ac:dyDescent="0.25">
      <c r="A41" s="216" t="s">
        <v>50</v>
      </c>
      <c r="B41" s="35">
        <f>-0.0162*$B$6^3+0.0962*$B$6^2+0.6256*$B$6+14.194</f>
        <v>17.198800000000002</v>
      </c>
      <c r="C41" s="43">
        <f>0.1879*$B$6^3-1.3575*$B$6^2+92.445*$B$6+9.893</f>
        <v>369.97860000000003</v>
      </c>
      <c r="D41" s="45">
        <f t="shared" ref="D41:D54" si="1">(C41/1000)/((B41/100)^0.5)</f>
        <v>0.8921287423461951</v>
      </c>
      <c r="E41" s="38">
        <v>1</v>
      </c>
      <c r="F41" s="3">
        <v>430</v>
      </c>
    </row>
    <row r="42" spans="1:9" ht="13" hidden="1" x14ac:dyDescent="0.25">
      <c r="A42" s="214" t="s">
        <v>51</v>
      </c>
      <c r="B42" s="35">
        <f>-0.0158*$B$6^3+0.1133*$B$6^2+0.2063*$B$6+14.179</f>
        <v>15.8058</v>
      </c>
      <c r="C42" s="43">
        <f>0.071*$B$6^3-0.4496*$B$6^2+49.322*$B$6+5.3216</f>
        <v>199.96</v>
      </c>
      <c r="D42" s="45">
        <f t="shared" si="1"/>
        <v>0.50296166722695457</v>
      </c>
      <c r="E42" s="38">
        <v>2</v>
      </c>
      <c r="F42" s="3">
        <v>800</v>
      </c>
    </row>
    <row r="43" spans="1:9" ht="13" hidden="1" x14ac:dyDescent="0.25">
      <c r="A43" s="216" t="s">
        <v>52</v>
      </c>
      <c r="B43" s="35">
        <f>-0.0162*$B$6^3+0.0962*$B$6^2+0.6256*$B$6+14.194</f>
        <v>17.198800000000002</v>
      </c>
      <c r="C43" s="43">
        <f>0.1879*$B$6^3-1.3575*$B$6^2+92.445*$B$6+9.893</f>
        <v>369.97860000000003</v>
      </c>
      <c r="D43" s="45">
        <f t="shared" si="1"/>
        <v>0.8921287423461951</v>
      </c>
      <c r="E43" s="38">
        <v>3</v>
      </c>
      <c r="F43" s="3">
        <v>1250</v>
      </c>
    </row>
    <row r="44" spans="1:9" ht="13.5" hidden="1" thickBot="1" x14ac:dyDescent="0.3">
      <c r="A44" s="214" t="s">
        <v>53</v>
      </c>
      <c r="B44" s="35">
        <f>0.0264*$B$6^3-0.2572*$B$6^2+1.7436*$B$6+13.957</f>
        <v>18.505800000000001</v>
      </c>
      <c r="C44" s="43">
        <f>0.1879*$B$6^3-1.3575*$B$6^2+142.44*$B$6+14.893</f>
        <v>574.95860000000005</v>
      </c>
      <c r="D44" s="45">
        <f t="shared" si="1"/>
        <v>1.3365420969232971</v>
      </c>
      <c r="E44" s="39">
        <v>4</v>
      </c>
      <c r="F44" s="4">
        <v>1800</v>
      </c>
    </row>
    <row r="45" spans="1:9" ht="13.5" hidden="1" thickTop="1" x14ac:dyDescent="0.25">
      <c r="A45" s="216" t="s">
        <v>367</v>
      </c>
      <c r="B45" s="35">
        <f>-0.003*$B$6^3-0.2956*$B$6^2+3.0654*$B$6+14.256</f>
        <v>21.596</v>
      </c>
      <c r="C45" s="43">
        <f>-0.0681*$B$6^3+0.4158*$B$6^2+325.8*$B$6+24.547</f>
        <v>1330.0414000000001</v>
      </c>
      <c r="D45" s="45">
        <f t="shared" ref="D45" si="2">(C45/1000)/((B45/100)^0.5)</f>
        <v>2.8620584576639838</v>
      </c>
      <c r="E45" s="92"/>
      <c r="F45" s="92"/>
    </row>
    <row r="46" spans="1:9" ht="13" hidden="1" x14ac:dyDescent="0.25">
      <c r="A46" s="216" t="s">
        <v>54</v>
      </c>
      <c r="B46" s="35">
        <f>0.0264*$B$6^3-0.2572*$B$6^2+1.7436*$B$6+13.957</f>
        <v>18.505800000000001</v>
      </c>
      <c r="C46" s="43">
        <f>0.1879*$B$6^3-1.3575*$B$6^2+142.44*$B$6+14.893</f>
        <v>574.95860000000005</v>
      </c>
      <c r="D46" s="45">
        <f t="shared" si="1"/>
        <v>1.3365420969232971</v>
      </c>
    </row>
    <row r="47" spans="1:9" ht="13" hidden="1" x14ac:dyDescent="0.25">
      <c r="A47" s="214" t="s">
        <v>55</v>
      </c>
      <c r="B47" s="35">
        <f>-0.0252*$B$6^3-0.014*$B$6^2+2.0359*$B$6+14.294</f>
        <v>20.6008</v>
      </c>
      <c r="C47" s="43">
        <f>0.0799*$B$6^3-0.6278*$B$6^2+245.5*$B$6+12.96</f>
        <v>990.02880000000005</v>
      </c>
      <c r="D47" s="45">
        <f t="shared" si="1"/>
        <v>2.181251713724679</v>
      </c>
    </row>
    <row r="48" spans="1:9" ht="13" hidden="1" x14ac:dyDescent="0.25">
      <c r="A48" s="216" t="s">
        <v>56</v>
      </c>
      <c r="B48" s="35">
        <f>-0.003*$B$6^3-0.2956*$B$6^2+3.0654*$B$6+14.256</f>
        <v>21.596</v>
      </c>
      <c r="C48" s="43">
        <f>-0.0681*$B$6^3+0.4158*$B$6^2+325.8*$B$6+24.547</f>
        <v>1330.0414000000001</v>
      </c>
      <c r="D48" s="45">
        <f t="shared" si="1"/>
        <v>2.8620584576639838</v>
      </c>
    </row>
    <row r="49" spans="1:4" ht="13" hidden="1" x14ac:dyDescent="0.25">
      <c r="A49" s="217" t="s">
        <v>424</v>
      </c>
      <c r="B49" s="250">
        <f>ROUND(-1.338352*B6^4+13.061298*B6^3-41.975654*B6^2+55.306489*B6-2.920448,1)</f>
        <v>40</v>
      </c>
      <c r="C49" s="43">
        <f>ROUND(-9.2086834735*B6^4+97.0868347344*B6^3-322.3039215708*B6^2+795.4341736719*B6-81.0084033605,0)</f>
        <v>1800</v>
      </c>
      <c r="D49" s="45">
        <f t="shared" si="1"/>
        <v>2.8460498941515415</v>
      </c>
    </row>
    <row r="50" spans="1:4" ht="13" hidden="1" x14ac:dyDescent="0.25">
      <c r="A50" s="216" t="s">
        <v>425</v>
      </c>
      <c r="B50" s="35">
        <f>-0.0488*B6^4+1.2823*B6^3-4.3242*B6^2+6.5949*B6+12.629</f>
        <v>39.395799999999994</v>
      </c>
      <c r="C50" s="43">
        <f>ROUND(-4.3592436975*B6^4+46.9257703085*B6^3-132.573529414*B6^2+504.6288515433*B6+15.3781512613,0)</f>
        <v>1800</v>
      </c>
      <c r="D50" s="45">
        <f t="shared" si="1"/>
        <v>2.8677913013415575</v>
      </c>
    </row>
    <row r="51" spans="1:4" ht="13" hidden="1" x14ac:dyDescent="0.25">
      <c r="A51" s="217" t="s">
        <v>426</v>
      </c>
      <c r="B51" s="35">
        <f>0.1565*$B$6^3-0.4391*$B$6^2+0.7641*$B$6+16.949</f>
        <v>22.995800000000003</v>
      </c>
      <c r="C51" s="43">
        <f>-0.0000000000007*$B$6^3-0.0000000001*$B$6^2+885*$B$6+69</f>
        <v>3608.9999999983552</v>
      </c>
      <c r="D51" s="45">
        <f t="shared" si="1"/>
        <v>7.5259723886900423</v>
      </c>
    </row>
    <row r="52" spans="1:4" ht="13" hidden="1" x14ac:dyDescent="0.25">
      <c r="A52" s="216" t="s">
        <v>357</v>
      </c>
      <c r="B52" s="35">
        <f>0.3192*$B$6^3-1.0077*$B$6^2+1.6227*$B$6+17.201</f>
        <v>27.997399999999999</v>
      </c>
      <c r="C52" s="43">
        <f>-0.0000000003*$B$6^2+1015*$B$6-59</f>
        <v>4000.9999999952001</v>
      </c>
      <c r="D52" s="45">
        <f t="shared" si="1"/>
        <v>7.5615303617432712</v>
      </c>
    </row>
    <row r="53" spans="1:4" ht="13" hidden="1" x14ac:dyDescent="0.25">
      <c r="A53" s="217" t="s">
        <v>358</v>
      </c>
      <c r="B53" s="43">
        <f>1.053229*B6^3-3.608573*B6^2+4.209524*B6+8.476985</f>
        <v>34.984569</v>
      </c>
      <c r="C53" s="43">
        <f>-29.149*B6^4+241.49*B6^3-370.22*B6^2+1757.5*B6+400.42</f>
        <v>9500.116</v>
      </c>
      <c r="D53" s="45">
        <f t="shared" si="1"/>
        <v>16.061667985955076</v>
      </c>
    </row>
    <row r="54" spans="1:4" ht="13.5" hidden="1" thickBot="1" x14ac:dyDescent="0.3">
      <c r="A54" s="218" t="s">
        <v>359</v>
      </c>
      <c r="B54" s="44">
        <f>-0.5707*B6^4+5.3739*B6^3-14.475*B6^2+16.37*B6+4.3025</f>
        <v>36.012900000000009</v>
      </c>
      <c r="C54" s="44">
        <f>-64.426*B6^4+544.26*B6^3-1029.9*B6^2+2346.3*B6+253.78</f>
        <v>11500.163999999999</v>
      </c>
      <c r="D54" s="46">
        <f t="shared" si="1"/>
        <v>19.163506845882615</v>
      </c>
    </row>
    <row r="55" spans="1:4" ht="13" hidden="1" thickTop="1" x14ac:dyDescent="0.25"/>
    <row r="56" spans="1:4" hidden="1" x14ac:dyDescent="0.25"/>
    <row r="57" spans="1:4" hidden="1" x14ac:dyDescent="0.25"/>
    <row r="58" spans="1:4" hidden="1" x14ac:dyDescent="0.25"/>
    <row r="59" spans="1:4" hidden="1" x14ac:dyDescent="0.25"/>
    <row r="60" spans="1:4" hidden="1" x14ac:dyDescent="0.25"/>
    <row r="61" spans="1:4" hidden="1" x14ac:dyDescent="0.25"/>
    <row r="62" spans="1:4" hidden="1" x14ac:dyDescent="0.25"/>
    <row r="63" spans="1:4" hidden="1" x14ac:dyDescent="0.25"/>
  </sheetData>
  <sheetProtection algorithmName="SHA-512" hashValue="FfP8PJ9ZF9f3PqSoH1zMXO+WZOmMmG+t52qjkcOGqTTnnXlA4f6r5DEeqRRaoByhvl6x67UJldIYGRvgYWa0GQ==" saltValue="/ZNZYS2DVNDjCMx7C18o/A==" spinCount="100000" sheet="1" objects="1" scenarios="1"/>
  <mergeCells count="4">
    <mergeCell ref="A1:H1"/>
    <mergeCell ref="A2:I2"/>
    <mergeCell ref="A9:A10"/>
    <mergeCell ref="B9:C9"/>
  </mergeCells>
  <phoneticPr fontId="0" type="noConversion"/>
  <conditionalFormatting sqref="D27">
    <cfRule type="cellIs" dxfId="76" priority="19" operator="equal">
      <formula>"Outside DP-range"</formula>
    </cfRule>
    <cfRule type="cellIs" dxfId="75" priority="20" operator="equal">
      <formula>"Under DP område"</formula>
    </cfRule>
  </conditionalFormatting>
  <conditionalFormatting sqref="D11">
    <cfRule type="cellIs" dxfId="74" priority="18" operator="lessThan">
      <formula>$C$40</formula>
    </cfRule>
  </conditionalFormatting>
  <conditionalFormatting sqref="D12">
    <cfRule type="cellIs" dxfId="73" priority="17" operator="lessThan">
      <formula>$C$41</formula>
    </cfRule>
  </conditionalFormatting>
  <conditionalFormatting sqref="D13">
    <cfRule type="cellIs" dxfId="72" priority="16" operator="lessThan">
      <formula>$C$42</formula>
    </cfRule>
  </conditionalFormatting>
  <conditionalFormatting sqref="D14">
    <cfRule type="cellIs" dxfId="71" priority="15" operator="lessThan">
      <formula>$C$43</formula>
    </cfRule>
  </conditionalFormatting>
  <conditionalFormatting sqref="D15">
    <cfRule type="cellIs" dxfId="70" priority="14" operator="lessThan">
      <formula>$C$44</formula>
    </cfRule>
  </conditionalFormatting>
  <conditionalFormatting sqref="D17">
    <cfRule type="cellIs" dxfId="69" priority="13" operator="lessThan">
      <formula>$C$46</formula>
    </cfRule>
  </conditionalFormatting>
  <conditionalFormatting sqref="D18">
    <cfRule type="cellIs" dxfId="68" priority="12" operator="lessThan">
      <formula>$C$47</formula>
    </cfRule>
  </conditionalFormatting>
  <conditionalFormatting sqref="D19:D21">
    <cfRule type="cellIs" dxfId="67" priority="11" operator="lessThan">
      <formula>$C$48</formula>
    </cfRule>
  </conditionalFormatting>
  <conditionalFormatting sqref="D22">
    <cfRule type="cellIs" dxfId="66" priority="10" operator="lessThan">
      <formula>$C$51</formula>
    </cfRule>
  </conditionalFormatting>
  <conditionalFormatting sqref="D23">
    <cfRule type="cellIs" dxfId="65" priority="9" operator="lessThan">
      <formula>$C$52</formula>
    </cfRule>
  </conditionalFormatting>
  <conditionalFormatting sqref="D24">
    <cfRule type="cellIs" dxfId="64" priority="8" operator="lessThan">
      <formula>$C$53</formula>
    </cfRule>
  </conditionalFormatting>
  <conditionalFormatting sqref="D25">
    <cfRule type="cellIs" dxfId="63" priority="7" operator="lessThan">
      <formula>$C$54</formula>
    </cfRule>
  </conditionalFormatting>
  <conditionalFormatting sqref="D20">
    <cfRule type="cellIs" dxfId="62" priority="2" operator="lessThan">
      <formula>$C$49</formula>
    </cfRule>
    <cfRule type="cellIs" dxfId="61" priority="3" operator="lessThan">
      <formula>$C$49</formula>
    </cfRule>
    <cfRule type="cellIs" dxfId="60" priority="4" operator="lessThan">
      <formula>$C$49</formula>
    </cfRule>
    <cfRule type="cellIs" dxfId="59" priority="6" operator="lessThan">
      <formula>$C$49</formula>
    </cfRule>
  </conditionalFormatting>
  <conditionalFormatting sqref="D21">
    <cfRule type="cellIs" dxfId="58" priority="5" operator="lessThan">
      <formula>$C$50</formula>
    </cfRule>
  </conditionalFormatting>
  <conditionalFormatting sqref="D16">
    <cfRule type="cellIs" dxfId="57" priority="1" operator="lessThan">
      <formula>$C$48</formula>
    </cfRule>
  </conditionalFormatting>
  <pageMargins left="0.78740157480314965" right="0.39370078740157483" top="0.98425196850393704" bottom="0.98425196850393704" header="0.51181102362204722" footer="0.51181102362204722"/>
  <pageSetup paperSize="9" scale="105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4"/>
  <sheetViews>
    <sheetView showGridLines="0" zoomScale="90" zoomScaleNormal="90" workbookViewId="0">
      <selection activeCell="K21" sqref="K21"/>
    </sheetView>
  </sheetViews>
  <sheetFormatPr baseColWidth="10" defaultColWidth="8.81640625" defaultRowHeight="12.5" x14ac:dyDescent="0.25"/>
  <cols>
    <col min="1" max="1" width="23.7265625" customWidth="1"/>
    <col min="2" max="2" width="14.26953125" customWidth="1"/>
    <col min="3" max="4" width="15.7265625" customWidth="1"/>
    <col min="5" max="6" width="10.7265625" customWidth="1"/>
    <col min="7" max="7" width="7.1796875" customWidth="1"/>
    <col min="8" max="8" width="10.7265625" customWidth="1"/>
    <col min="9" max="9" width="20.453125" bestFit="1" customWidth="1"/>
    <col min="11" max="11" width="36" bestFit="1" customWidth="1"/>
    <col min="13" max="14" width="20.26953125" bestFit="1" customWidth="1"/>
  </cols>
  <sheetData>
    <row r="1" spans="1:11" ht="20.5" thickTop="1" x14ac:dyDescent="0.4">
      <c r="A1" s="278" t="s">
        <v>378</v>
      </c>
      <c r="B1" s="279"/>
      <c r="C1" s="279"/>
      <c r="D1" s="279"/>
      <c r="E1" s="279"/>
      <c r="F1" s="279"/>
      <c r="G1" s="279"/>
      <c r="H1" s="279"/>
      <c r="I1" s="142"/>
      <c r="J1" s="1"/>
    </row>
    <row r="2" spans="1:11" ht="20.5" thickBot="1" x14ac:dyDescent="0.45">
      <c r="A2" s="280" t="s">
        <v>83</v>
      </c>
      <c r="B2" s="281"/>
      <c r="C2" s="281"/>
      <c r="D2" s="281"/>
      <c r="E2" s="281"/>
      <c r="F2" s="281"/>
      <c r="G2" s="281"/>
      <c r="H2" s="281"/>
      <c r="I2" s="282"/>
      <c r="J2" s="1"/>
    </row>
    <row r="3" spans="1:11" ht="13.5" thickTop="1" x14ac:dyDescent="0.3">
      <c r="A3" s="6"/>
      <c r="B3" s="21"/>
      <c r="C3" s="21"/>
      <c r="D3" s="7"/>
      <c r="E3" s="7"/>
      <c r="F3" s="7"/>
      <c r="G3" s="7"/>
      <c r="H3" s="7"/>
      <c r="I3" s="8"/>
    </row>
    <row r="4" spans="1:11" ht="13" x14ac:dyDescent="0.3">
      <c r="A4" s="10"/>
      <c r="B4" s="5" t="s">
        <v>1</v>
      </c>
      <c r="C4" s="2"/>
      <c r="E4" s="2"/>
      <c r="F4" s="2"/>
      <c r="G4" s="2"/>
      <c r="H4" s="2"/>
      <c r="I4" s="9"/>
    </row>
    <row r="5" spans="1:11" ht="13" x14ac:dyDescent="0.3">
      <c r="A5" s="34" t="s">
        <v>339</v>
      </c>
      <c r="B5" s="199">
        <v>100</v>
      </c>
      <c r="C5" s="12" t="s">
        <v>252</v>
      </c>
      <c r="E5" s="2"/>
      <c r="F5" s="2"/>
      <c r="G5" s="2"/>
      <c r="H5" s="2"/>
      <c r="I5" s="9"/>
    </row>
    <row r="6" spans="1:11" ht="13" x14ac:dyDescent="0.3">
      <c r="A6" s="34" t="s">
        <v>84</v>
      </c>
      <c r="B6" s="199">
        <v>4</v>
      </c>
      <c r="C6" s="12"/>
      <c r="E6" s="2"/>
      <c r="F6" s="11"/>
      <c r="G6" s="2"/>
      <c r="H6" s="2"/>
      <c r="I6" s="9"/>
    </row>
    <row r="7" spans="1:11" ht="13" x14ac:dyDescent="0.3">
      <c r="A7" s="10"/>
      <c r="B7" s="2"/>
      <c r="C7" s="2"/>
      <c r="E7" s="2"/>
      <c r="F7" s="11"/>
      <c r="G7" s="2"/>
      <c r="H7" s="2"/>
      <c r="I7" s="9"/>
    </row>
    <row r="8" spans="1:11" ht="13" thickBot="1" x14ac:dyDescent="0.3">
      <c r="A8" s="10"/>
      <c r="B8" s="2"/>
      <c r="C8" s="2"/>
      <c r="D8" s="2"/>
      <c r="E8" s="2"/>
      <c r="F8" s="2"/>
      <c r="G8" s="2"/>
      <c r="H8" s="2"/>
      <c r="I8" s="9"/>
    </row>
    <row r="9" spans="1:11" ht="13.5" thickTop="1" x14ac:dyDescent="0.3">
      <c r="A9" s="286" t="s">
        <v>0</v>
      </c>
      <c r="B9" s="277" t="s">
        <v>3</v>
      </c>
      <c r="C9" s="277"/>
      <c r="D9" s="273" t="s">
        <v>338</v>
      </c>
      <c r="E9" s="2"/>
      <c r="F9" s="2"/>
      <c r="G9" s="2"/>
      <c r="H9" s="2"/>
      <c r="I9" s="9"/>
    </row>
    <row r="10" spans="1:11" ht="13" x14ac:dyDescent="0.3">
      <c r="A10" s="287"/>
      <c r="B10" s="119" t="s">
        <v>75</v>
      </c>
      <c r="C10" s="119" t="s">
        <v>32</v>
      </c>
      <c r="D10" s="211" t="s">
        <v>75</v>
      </c>
      <c r="E10" s="2"/>
      <c r="F10" s="2"/>
      <c r="G10" s="2"/>
      <c r="H10" s="2"/>
      <c r="I10" s="9"/>
    </row>
    <row r="11" spans="1:11" ht="13" x14ac:dyDescent="0.3">
      <c r="A11" s="214" t="s">
        <v>65</v>
      </c>
      <c r="B11" s="215" t="s">
        <v>77</v>
      </c>
      <c r="C11" s="215" t="s">
        <v>442</v>
      </c>
      <c r="D11" s="219">
        <f t="shared" ref="D11:D22" si="0">IF($B$5&gt;800,"NOT POSSIBLE",IF($B$6&lt;0.6,"NOT POSSIBLE",(IF($B$6&gt;4,"NOT POSSIBLE",IF($B$5&gt;B41,C41,(1000*D41*(($B$5/100)^0.5)))))))</f>
        <v>15.000400000000003</v>
      </c>
      <c r="E11" s="2"/>
      <c r="F11" s="2"/>
      <c r="G11" s="2"/>
      <c r="H11" s="2"/>
      <c r="I11" s="9"/>
    </row>
    <row r="12" spans="1:11" ht="13" x14ac:dyDescent="0.3">
      <c r="A12" s="216" t="s">
        <v>66</v>
      </c>
      <c r="B12" s="194" t="s">
        <v>76</v>
      </c>
      <c r="C12" s="194" t="s">
        <v>443</v>
      </c>
      <c r="D12" s="219">
        <f t="shared" si="0"/>
        <v>24.000399999999999</v>
      </c>
      <c r="E12" s="2"/>
      <c r="F12" s="2"/>
      <c r="G12" s="2"/>
      <c r="H12" s="2"/>
      <c r="I12" s="9"/>
    </row>
    <row r="13" spans="1:11" ht="12.75" customHeight="1" x14ac:dyDescent="0.3">
      <c r="A13" s="214" t="s">
        <v>67</v>
      </c>
      <c r="B13" s="215" t="s">
        <v>71</v>
      </c>
      <c r="C13" s="215" t="s">
        <v>444</v>
      </c>
      <c r="D13" s="219">
        <f t="shared" si="0"/>
        <v>25.000520000000002</v>
      </c>
      <c r="E13" s="2"/>
      <c r="F13" s="2"/>
      <c r="G13" s="2"/>
      <c r="H13" s="2"/>
      <c r="I13" s="9"/>
      <c r="K13" s="33"/>
    </row>
    <row r="14" spans="1:11" ht="13" x14ac:dyDescent="0.3">
      <c r="A14" s="216" t="s">
        <v>68</v>
      </c>
      <c r="B14" s="194" t="s">
        <v>72</v>
      </c>
      <c r="C14" s="194" t="s">
        <v>445</v>
      </c>
      <c r="D14" s="219">
        <f t="shared" si="0"/>
        <v>35.007199999900003</v>
      </c>
      <c r="E14" s="2"/>
      <c r="F14" s="2"/>
      <c r="G14" s="2"/>
      <c r="H14" s="2"/>
      <c r="I14" s="9"/>
      <c r="K14" s="32"/>
    </row>
    <row r="15" spans="1:11" ht="13" x14ac:dyDescent="0.3">
      <c r="A15" s="214" t="s">
        <v>69</v>
      </c>
      <c r="B15" s="215" t="s">
        <v>73</v>
      </c>
      <c r="C15" s="215" t="s">
        <v>446</v>
      </c>
      <c r="D15" s="219">
        <f t="shared" si="0"/>
        <v>34.0184</v>
      </c>
      <c r="E15" s="2"/>
      <c r="F15" s="2"/>
      <c r="G15" s="2"/>
      <c r="H15" s="2"/>
      <c r="I15" s="9"/>
    </row>
    <row r="16" spans="1:11" ht="13" x14ac:dyDescent="0.3">
      <c r="A16" s="216" t="s">
        <v>70</v>
      </c>
      <c r="B16" s="194" t="s">
        <v>74</v>
      </c>
      <c r="C16" s="194" t="s">
        <v>447</v>
      </c>
      <c r="D16" s="219">
        <f t="shared" si="0"/>
        <v>43.034399999999998</v>
      </c>
      <c r="E16" s="2"/>
      <c r="F16" s="2"/>
      <c r="G16" s="2"/>
      <c r="H16" s="2"/>
      <c r="I16" s="9"/>
    </row>
    <row r="17" spans="1:9" ht="13" x14ac:dyDescent="0.3">
      <c r="A17" s="214" t="s">
        <v>363</v>
      </c>
      <c r="B17" s="215" t="s">
        <v>365</v>
      </c>
      <c r="C17" s="215" t="s">
        <v>448</v>
      </c>
      <c r="D17" s="55">
        <f t="shared" si="0"/>
        <v>68.006049133000019</v>
      </c>
      <c r="E17" s="2"/>
      <c r="F17" s="2"/>
      <c r="G17" s="2"/>
      <c r="H17" s="2"/>
      <c r="I17" s="9"/>
    </row>
    <row r="18" spans="1:9" ht="13" x14ac:dyDescent="0.3">
      <c r="A18" s="216" t="s">
        <v>364</v>
      </c>
      <c r="B18" s="194" t="s">
        <v>366</v>
      </c>
      <c r="C18" s="194" t="s">
        <v>445</v>
      </c>
      <c r="D18" s="55">
        <f t="shared" si="0"/>
        <v>89.996455378999997</v>
      </c>
      <c r="E18" s="2"/>
      <c r="F18" s="2"/>
      <c r="G18" s="2"/>
      <c r="H18" s="2"/>
      <c r="I18" s="9"/>
    </row>
    <row r="19" spans="1:9" ht="13" x14ac:dyDescent="0.3">
      <c r="A19" s="214" t="s">
        <v>380</v>
      </c>
      <c r="B19" s="215" t="s">
        <v>382</v>
      </c>
      <c r="C19" s="215" t="s">
        <v>446</v>
      </c>
      <c r="D19" s="55">
        <f t="shared" si="0"/>
        <v>109.99987400000001</v>
      </c>
      <c r="E19" s="2"/>
      <c r="F19" s="2"/>
      <c r="G19" s="2"/>
      <c r="H19" s="2"/>
      <c r="I19" s="9"/>
    </row>
    <row r="20" spans="1:9" ht="13" x14ac:dyDescent="0.3">
      <c r="A20" s="216" t="s">
        <v>381</v>
      </c>
      <c r="B20" s="194" t="s">
        <v>383</v>
      </c>
      <c r="C20" s="194" t="s">
        <v>449</v>
      </c>
      <c r="D20" s="55">
        <f t="shared" si="0"/>
        <v>135.00001599999999</v>
      </c>
      <c r="E20" s="2"/>
      <c r="F20" s="2"/>
      <c r="G20" s="2"/>
      <c r="H20" s="2"/>
      <c r="I20" s="9"/>
    </row>
    <row r="21" spans="1:9" ht="13" x14ac:dyDescent="0.3">
      <c r="A21" s="244" t="s">
        <v>406</v>
      </c>
      <c r="B21" s="245" t="s">
        <v>408</v>
      </c>
      <c r="C21" s="245" t="s">
        <v>436</v>
      </c>
      <c r="D21" s="274">
        <f t="shared" si="0"/>
        <v>147.99631999999997</v>
      </c>
      <c r="E21" s="2"/>
      <c r="F21" s="2"/>
      <c r="G21" s="2"/>
      <c r="H21" s="2"/>
      <c r="I21" s="9"/>
    </row>
    <row r="22" spans="1:9" ht="13" x14ac:dyDescent="0.3">
      <c r="A22" s="248" t="s">
        <v>407</v>
      </c>
      <c r="B22" s="247" t="s">
        <v>409</v>
      </c>
      <c r="C22" s="247" t="s">
        <v>437</v>
      </c>
      <c r="D22" s="274">
        <f t="shared" si="0"/>
        <v>195.00521999999998</v>
      </c>
      <c r="E22" s="2"/>
      <c r="F22" s="2"/>
      <c r="G22" s="2"/>
      <c r="H22" s="2"/>
      <c r="I22" s="9"/>
    </row>
    <row r="23" spans="1:9" ht="13" x14ac:dyDescent="0.3">
      <c r="A23" s="244" t="s">
        <v>438</v>
      </c>
      <c r="B23" s="245" t="s">
        <v>439</v>
      </c>
      <c r="C23" s="245" t="s">
        <v>450</v>
      </c>
      <c r="D23" s="274">
        <f>IF($B$5&gt;800,"NOT POSSIBLE",IF($B$6&lt;1,"NOT POSSIBLE",(IF($B$6&gt;4,"NOT POSSIBLE",IF($B$5&gt;B53,C53,(1000*D53*(($B$5/100)^0.5)))))))</f>
        <v>210.00002000000001</v>
      </c>
      <c r="E23" s="2"/>
      <c r="F23" s="2"/>
      <c r="G23" s="2"/>
      <c r="H23" s="2"/>
      <c r="I23" s="9"/>
    </row>
    <row r="24" spans="1:9" ht="13" x14ac:dyDescent="0.3">
      <c r="A24" s="248" t="s">
        <v>440</v>
      </c>
      <c r="B24" s="247" t="s">
        <v>441</v>
      </c>
      <c r="C24" s="247" t="s">
        <v>451</v>
      </c>
      <c r="D24" s="274">
        <f>IF($B$5&gt;800,"NOT POSSIBLE",IF($B$6&lt;1,"NOT POSSIBLE",(IF($B$6&gt;4,"NOT POSSIBLE",IF($B$5&gt;B54,C54,(1000*D54*(($B$5/100)^0.5)))))))</f>
        <v>280</v>
      </c>
      <c r="E24" s="2"/>
      <c r="F24" s="2"/>
      <c r="G24" s="2"/>
      <c r="H24" s="2"/>
      <c r="I24" s="9"/>
    </row>
    <row r="25" spans="1:9" ht="13" x14ac:dyDescent="0.3">
      <c r="A25" s="244" t="s">
        <v>456</v>
      </c>
      <c r="B25" s="245" t="s">
        <v>458</v>
      </c>
      <c r="C25" s="245" t="s">
        <v>455</v>
      </c>
      <c r="D25" s="274">
        <f>IF($B$5&gt;800,"NOT POSSIBLE",IF($B$6&lt;1,"NOT POSSIBLE",(IF($B$6&gt;4,"NOT POSSIBLE",IF($B$5&gt;B55,C55,(1000*D55*(($B$5/100)^0.5)))))))</f>
        <v>474.90081900000013</v>
      </c>
      <c r="E25" s="2"/>
      <c r="F25" s="2"/>
      <c r="G25" s="2"/>
      <c r="H25" s="2"/>
      <c r="I25" s="9"/>
    </row>
    <row r="26" spans="1:9" ht="13.5" thickBot="1" x14ac:dyDescent="0.35">
      <c r="A26" s="265" t="s">
        <v>457</v>
      </c>
      <c r="B26" s="266" t="s">
        <v>459</v>
      </c>
      <c r="C26" s="266" t="s">
        <v>444</v>
      </c>
      <c r="D26" s="274">
        <f>IF($B$5&gt;800,"NOT POSSIBLE",IF($B$6&lt;1,"NOT POSSIBLE",(IF($B$6&gt;4,"NOT POSSIBLE",IF($B$5&gt;B56,C56,(1000*D56*(($B$5/100)^0.5)))))))</f>
        <v>600.05960500000003</v>
      </c>
      <c r="E26" s="2"/>
      <c r="F26" s="2"/>
      <c r="G26" s="2"/>
      <c r="H26" s="2"/>
      <c r="I26" s="9"/>
    </row>
    <row r="27" spans="1:9" ht="13" thickTop="1" x14ac:dyDescent="0.25">
      <c r="A27" s="10"/>
      <c r="B27" s="2"/>
      <c r="C27" s="2"/>
      <c r="D27" s="233" t="s">
        <v>376</v>
      </c>
      <c r="E27" s="2"/>
      <c r="F27" s="2"/>
      <c r="G27" s="2"/>
      <c r="H27" s="2"/>
      <c r="I27" s="9"/>
    </row>
    <row r="28" spans="1:9" x14ac:dyDescent="0.25">
      <c r="A28" s="10"/>
      <c r="B28" s="2"/>
      <c r="C28" s="2"/>
      <c r="D28" s="234" t="s">
        <v>377</v>
      </c>
      <c r="E28" s="2"/>
      <c r="F28" s="2"/>
      <c r="G28" s="2"/>
      <c r="H28" s="2"/>
      <c r="I28" s="9"/>
    </row>
    <row r="29" spans="1:9" x14ac:dyDescent="0.25">
      <c r="A29" s="10"/>
      <c r="B29" s="2"/>
      <c r="C29" s="2"/>
      <c r="E29" s="2"/>
      <c r="F29" s="2"/>
      <c r="G29" s="2"/>
      <c r="H29" s="2"/>
      <c r="I29" s="9"/>
    </row>
    <row r="30" spans="1:9" x14ac:dyDescent="0.25">
      <c r="A30" s="10"/>
      <c r="B30" s="2"/>
      <c r="C30" s="2"/>
      <c r="E30" s="2"/>
      <c r="F30" s="2"/>
      <c r="G30" s="2"/>
      <c r="H30" s="2"/>
      <c r="I30" s="9"/>
    </row>
    <row r="31" spans="1:9" x14ac:dyDescent="0.25">
      <c r="A31" s="10"/>
      <c r="B31" s="2"/>
      <c r="C31" s="2"/>
      <c r="E31" s="2"/>
      <c r="F31" s="2"/>
      <c r="G31" s="2"/>
      <c r="H31" s="2"/>
      <c r="I31" s="9"/>
    </row>
    <row r="32" spans="1:9" x14ac:dyDescent="0.25">
      <c r="A32" s="10"/>
      <c r="B32" s="2"/>
      <c r="C32" s="2"/>
      <c r="E32" s="2"/>
      <c r="F32" s="2"/>
      <c r="G32" s="2"/>
      <c r="H32" s="2"/>
      <c r="I32" s="9"/>
    </row>
    <row r="33" spans="1:9" x14ac:dyDescent="0.25">
      <c r="A33" s="10"/>
      <c r="B33" s="2"/>
      <c r="C33" s="2"/>
      <c r="E33" s="2"/>
      <c r="F33" s="2"/>
      <c r="G33" s="2"/>
      <c r="H33" s="2"/>
      <c r="I33" s="9"/>
    </row>
    <row r="34" spans="1:9" x14ac:dyDescent="0.25">
      <c r="A34" s="10"/>
      <c r="B34" s="2"/>
      <c r="C34" s="2"/>
      <c r="E34" s="2"/>
      <c r="F34" s="2"/>
      <c r="G34" s="2"/>
      <c r="H34" s="2"/>
      <c r="I34" s="9"/>
    </row>
    <row r="35" spans="1:9" x14ac:dyDescent="0.25">
      <c r="A35" s="10"/>
      <c r="B35" s="2"/>
      <c r="C35" s="2"/>
      <c r="E35" s="2"/>
      <c r="F35" s="2"/>
      <c r="G35" s="2"/>
      <c r="H35" s="2"/>
      <c r="I35" s="9"/>
    </row>
    <row r="36" spans="1:9" x14ac:dyDescent="0.25">
      <c r="A36" s="10"/>
      <c r="B36" s="2"/>
      <c r="C36" s="2"/>
      <c r="E36" s="2"/>
      <c r="F36" s="2"/>
      <c r="G36" s="2"/>
      <c r="H36" s="2"/>
      <c r="I36" s="9"/>
    </row>
    <row r="37" spans="1:9" x14ac:dyDescent="0.25">
      <c r="A37" s="10"/>
      <c r="B37" s="2"/>
      <c r="C37" s="2"/>
      <c r="D37" s="13"/>
      <c r="E37" s="2"/>
      <c r="F37" s="2"/>
      <c r="G37" s="2"/>
      <c r="H37" s="2"/>
      <c r="I37" s="9"/>
    </row>
    <row r="38" spans="1:9" ht="13" thickBot="1" x14ac:dyDescent="0.3">
      <c r="A38" s="14" t="s">
        <v>57</v>
      </c>
      <c r="B38" s="15"/>
      <c r="C38" s="15"/>
      <c r="D38" s="15"/>
      <c r="E38" s="15"/>
      <c r="F38" s="15"/>
      <c r="G38" s="15"/>
      <c r="H38" s="15"/>
      <c r="I38" s="16"/>
    </row>
    <row r="39" spans="1:9" ht="13" thickTop="1" x14ac:dyDescent="0.25"/>
    <row r="40" spans="1:9" ht="13.5" hidden="1" thickTop="1" thickBot="1" x14ac:dyDescent="0.3">
      <c r="A40" s="40" t="s">
        <v>59</v>
      </c>
      <c r="B40" s="41" t="s">
        <v>85</v>
      </c>
      <c r="C40" s="42" t="s">
        <v>86</v>
      </c>
      <c r="D40" s="37" t="s">
        <v>87</v>
      </c>
      <c r="E40" s="36" t="s">
        <v>5</v>
      </c>
      <c r="F40" s="37" t="s">
        <v>58</v>
      </c>
    </row>
    <row r="41" spans="1:9" hidden="1" x14ac:dyDescent="0.25">
      <c r="A41" s="267" t="s">
        <v>65</v>
      </c>
      <c r="B41" s="268">
        <f>0.25*$B$6^3-0.25*$B$6^2+0.5*$B$6+6</f>
        <v>20</v>
      </c>
      <c r="C41" s="269">
        <f>(0.1887*$B$6^3-0.9812*$B$6^2+4.6557*$B$6)</f>
        <v>15.000400000000003</v>
      </c>
      <c r="D41" s="270">
        <f t="shared" ref="D41:D54" si="1">(C41/1000)/((B41/100)^0.5)</f>
        <v>3.3541914089687853E-2</v>
      </c>
      <c r="E41" s="38">
        <v>0.6</v>
      </c>
      <c r="F41" s="3"/>
    </row>
    <row r="42" spans="1:9" hidden="1" x14ac:dyDescent="0.25">
      <c r="A42" s="271" t="s">
        <v>66</v>
      </c>
      <c r="B42" s="268">
        <f>0.67*$B$6^3-0.5*$B$6^2-1.17*$B$6+20</f>
        <v>50.2</v>
      </c>
      <c r="C42" s="269">
        <f>(0.2591*B6^3-1.3509*B6^2+7.2581*B6)</f>
        <v>24.000399999999999</v>
      </c>
      <c r="D42" s="270">
        <f t="shared" si="1"/>
        <v>3.3874010773695139E-2</v>
      </c>
      <c r="E42" s="38">
        <v>1</v>
      </c>
      <c r="F42" s="3">
        <v>15</v>
      </c>
    </row>
    <row r="43" spans="1:9" hidden="1" x14ac:dyDescent="0.25">
      <c r="A43" s="272" t="s">
        <v>67</v>
      </c>
      <c r="B43" s="268">
        <f>0.67*$B$6^3-4.5*$B$6^2+11.83*$B$6+7</f>
        <v>25.200000000000003</v>
      </c>
      <c r="C43" s="269">
        <f>(-0.04198*B6^4+0.6749*B6^3-2.62437*B6^2+8.63593*B6)</f>
        <v>25.000520000000002</v>
      </c>
      <c r="D43" s="270">
        <f t="shared" si="1"/>
        <v>4.9802227920394501E-2</v>
      </c>
      <c r="E43" s="38">
        <v>2</v>
      </c>
      <c r="F43" s="3">
        <v>25</v>
      </c>
    </row>
    <row r="44" spans="1:9" hidden="1" x14ac:dyDescent="0.25">
      <c r="A44" s="271" t="s">
        <v>68</v>
      </c>
      <c r="B44" s="268">
        <f>2.67*$B$6^3-15.5*$B$6^2+29.83*$B$6+13</f>
        <v>55.199999999999989</v>
      </c>
      <c r="C44" s="269">
        <f>(-0.0596*B6^4+0.8992*B6^3-3.363*B6^2+11.631*B6-0.0000000001)</f>
        <v>35.007199999900003</v>
      </c>
      <c r="D44" s="270">
        <f t="shared" si="1"/>
        <v>4.7118107304191949E-2</v>
      </c>
      <c r="E44" s="38">
        <v>3</v>
      </c>
      <c r="F44" s="3">
        <v>45</v>
      </c>
    </row>
    <row r="45" spans="1:9" ht="13" hidden="1" thickBot="1" x14ac:dyDescent="0.3">
      <c r="A45" s="272" t="s">
        <v>69</v>
      </c>
      <c r="B45" s="268">
        <f>0.5*$B$6^3-3*$B$6^2+7.5*$B$6+11</f>
        <v>25</v>
      </c>
      <c r="C45" s="269">
        <f>(0.4778*B6^3-2.3158*B6^2+10.123*B6)</f>
        <v>34.0184</v>
      </c>
      <c r="D45" s="270">
        <f t="shared" si="1"/>
        <v>6.8036799999999995E-2</v>
      </c>
      <c r="E45" s="39">
        <v>4</v>
      </c>
      <c r="F45" s="4">
        <v>70</v>
      </c>
    </row>
    <row r="46" spans="1:9" ht="13" hidden="1" thickTop="1" x14ac:dyDescent="0.25">
      <c r="A46" s="271" t="s">
        <v>70</v>
      </c>
      <c r="B46" s="268">
        <f>2*$B$6^3-10.5*$B$6^2+19.5*$B$6+12</f>
        <v>50</v>
      </c>
      <c r="C46" s="269">
        <f>(0.5331*B6^3-2.7305*B6^2+13.151*B6)</f>
        <v>43.034399999999998</v>
      </c>
      <c r="D46" s="270">
        <f t="shared" si="1"/>
        <v>6.0859832128588719E-2</v>
      </c>
    </row>
    <row r="47" spans="1:9" hidden="1" x14ac:dyDescent="0.25">
      <c r="A47" s="272" t="s">
        <v>363</v>
      </c>
      <c r="B47" s="268">
        <f>B6^3-5.5*B6^2+11.5*B6+13</f>
        <v>35</v>
      </c>
      <c r="C47" s="268">
        <f>(1.328399697*B6^3-6.9416537297*B6^2+23.4516968098*B6+0.248140961)</f>
        <v>68.006049133000019</v>
      </c>
      <c r="D47" s="270">
        <f t="shared" si="1"/>
        <v>0.11495120354406302</v>
      </c>
    </row>
    <row r="48" spans="1:9" hidden="1" x14ac:dyDescent="0.25">
      <c r="A48" s="271" t="s">
        <v>364</v>
      </c>
      <c r="B48" s="268">
        <f>2.5*B6^3-12.5*B6^2+25*B6+15</f>
        <v>75</v>
      </c>
      <c r="C48" s="268">
        <f>(1.9072906155*B6^3-9.8453485213*B6^2+31.629087454*B6-1.0609174882)</f>
        <v>89.996455378999997</v>
      </c>
      <c r="D48" s="270">
        <f t="shared" si="1"/>
        <v>0.1039189554783556</v>
      </c>
    </row>
    <row r="49" spans="1:6" hidden="1" x14ac:dyDescent="0.25">
      <c r="A49" s="272" t="s">
        <v>380</v>
      </c>
      <c r="B49" s="268">
        <f>1.67*B6^3-9.5*B6^2+18.83*B6+5</f>
        <v>35.199999999999989</v>
      </c>
      <c r="C49" s="268">
        <f>(0.333508*B6^4-1.501751*B6^3+0.922794*B6^2+25.741246*B6+3.004202)</f>
        <v>109.99987400000001</v>
      </c>
      <c r="D49" s="270">
        <f t="shared" si="1"/>
        <v>0.18540474980443497</v>
      </c>
    </row>
    <row r="50" spans="1:6" hidden="1" x14ac:dyDescent="0.25">
      <c r="A50" s="271" t="s">
        <v>381</v>
      </c>
      <c r="B50" s="268">
        <f>2.33*B6^3-13*B6^2+24.67*B6+13</f>
        <v>52.800000000000011</v>
      </c>
      <c r="C50" s="268">
        <f>(0.252101*B6^4-0.354342*B6^3-4.426471*B6^2+40.978291*B6+0.05042)</f>
        <v>135.00001599999999</v>
      </c>
      <c r="D50" s="270">
        <f t="shared" si="1"/>
        <v>0.18578765738434863</v>
      </c>
    </row>
    <row r="51" spans="1:6" hidden="1" x14ac:dyDescent="0.25">
      <c r="A51" s="272" t="s">
        <v>406</v>
      </c>
      <c r="B51" s="268">
        <f>IF(B6&lt;2,21,(-1.666667*B6^3+13.5*B6^2-27.833333*B6+37))</f>
        <v>34.999980000000008</v>
      </c>
      <c r="C51" s="268">
        <f>((-208.33*B6^4+2916.7*B6^3-10592*B6^2+45683*B6+1400)/1000)</f>
        <v>147.99631999999997</v>
      </c>
      <c r="D51" s="270">
        <f t="shared" si="1"/>
        <v>0.25015951053848207</v>
      </c>
    </row>
    <row r="52" spans="1:6" hidden="1" x14ac:dyDescent="0.25">
      <c r="A52" s="271" t="s">
        <v>407</v>
      </c>
      <c r="B52" s="268">
        <f>IF(B6&lt;2,33,(-0.666667*B6^3+9.5*B6^2-22.833333*B6+47))</f>
        <v>64.999980000000008</v>
      </c>
      <c r="C52" s="268">
        <f>((-194.33*B6^4+4109.9*B6^3-17301*B6^2+65050*B6-1663.9)/1000)</f>
        <v>195.00521999999998</v>
      </c>
      <c r="D52" s="270">
        <f t="shared" si="1"/>
        <v>0.24187424427352708</v>
      </c>
    </row>
    <row r="53" spans="1:6" hidden="1" x14ac:dyDescent="0.25">
      <c r="A53" s="272" t="s">
        <v>438</v>
      </c>
      <c r="B53" s="268">
        <f>IF(B6&lt;1,11,(-0.5*B6^3+4.5*B6^2-5*B6+12))</f>
        <v>32</v>
      </c>
      <c r="C53" s="268">
        <f>(-0.833333*B6^3+10*B6^2+5.833333*B6+80)</f>
        <v>210.00002000000001</v>
      </c>
      <c r="D53" s="270">
        <f t="shared" si="1"/>
        <v>0.37123109547827654</v>
      </c>
    </row>
    <row r="54" spans="1:6" hidden="1" x14ac:dyDescent="0.25">
      <c r="A54" s="271" t="s">
        <v>440</v>
      </c>
      <c r="B54" s="268">
        <f>IF(B6&lt;1,31,(-2.1666667*B6^3+18*B6^2-28.833333*B6+44))</f>
        <v>77.999999200000005</v>
      </c>
      <c r="C54" s="268">
        <f>(5*B6^2+25*B6+100)</f>
        <v>280</v>
      </c>
      <c r="D54" s="270">
        <f t="shared" si="1"/>
        <v>0.31703757118632053</v>
      </c>
    </row>
    <row r="55" spans="1:6" hidden="1" x14ac:dyDescent="0.25">
      <c r="A55" s="272" t="s">
        <v>456</v>
      </c>
      <c r="B55" s="268">
        <f>IF(B6&lt;1,10,(-0.833333*B6^3+7.5*B6^2-11.666667*B6+15))</f>
        <v>35.000019999999992</v>
      </c>
      <c r="C55" s="268">
        <f>(-0.074422*B6^4+8.259242*B6^3-42.790198*B6^2+141.847877*B6+82.613023)</f>
        <v>474.90081900000013</v>
      </c>
      <c r="D55" s="270">
        <f t="shared" ref="D55:D56" si="2">(C55/1000)/((B55/100)^0.5)</f>
        <v>0.80272866615279992</v>
      </c>
    </row>
    <row r="56" spans="1:6" hidden="1" x14ac:dyDescent="0.25">
      <c r="A56" s="271" t="s">
        <v>457</v>
      </c>
      <c r="B56" s="268">
        <f>IF(B6&lt;1,15,(-0.833333*B6^3+10*B6^2-14.166667*B6+20))</f>
        <v>70.000019999999992</v>
      </c>
      <c r="C56" s="268">
        <f>(0.196134*B6^4-5.305806*B6^3+49.430513*B6^2-34.005935*B6+234.556417)</f>
        <v>600.05960500000003</v>
      </c>
      <c r="D56" s="270">
        <f t="shared" si="2"/>
        <v>0.71720830474357367</v>
      </c>
    </row>
    <row r="57" spans="1:6" hidden="1" x14ac:dyDescent="0.25"/>
    <row r="58" spans="1:6" hidden="1" x14ac:dyDescent="0.25">
      <c r="E58">
        <v>1</v>
      </c>
      <c r="F58">
        <v>245</v>
      </c>
    </row>
    <row r="59" spans="1:6" hidden="1" x14ac:dyDescent="0.25">
      <c r="E59">
        <v>1.2</v>
      </c>
      <c r="F59">
        <v>256</v>
      </c>
    </row>
    <row r="60" spans="1:6" hidden="1" x14ac:dyDescent="0.25">
      <c r="E60">
        <v>1.4</v>
      </c>
      <c r="F60">
        <v>270</v>
      </c>
    </row>
    <row r="61" spans="1:6" hidden="1" x14ac:dyDescent="0.25">
      <c r="E61">
        <v>1.6</v>
      </c>
      <c r="F61">
        <v>286</v>
      </c>
    </row>
    <row r="62" spans="1:6" hidden="1" x14ac:dyDescent="0.25">
      <c r="E62">
        <v>1.8</v>
      </c>
      <c r="F62">
        <v>305</v>
      </c>
    </row>
    <row r="63" spans="1:6" hidden="1" x14ac:dyDescent="0.25">
      <c r="E63">
        <v>2</v>
      </c>
      <c r="F63">
        <v>325</v>
      </c>
    </row>
    <row r="64" spans="1:6" hidden="1" x14ac:dyDescent="0.25">
      <c r="E64">
        <v>2.2000000000000002</v>
      </c>
      <c r="F64">
        <v>347</v>
      </c>
    </row>
    <row r="65" spans="5:6" hidden="1" x14ac:dyDescent="0.25">
      <c r="E65">
        <v>2.4</v>
      </c>
      <c r="F65">
        <v>371</v>
      </c>
    </row>
    <row r="66" spans="5:6" hidden="1" x14ac:dyDescent="0.25">
      <c r="E66">
        <v>2.6</v>
      </c>
      <c r="F66">
        <v>396</v>
      </c>
    </row>
    <row r="67" spans="5:6" hidden="1" x14ac:dyDescent="0.25">
      <c r="E67">
        <v>2.8</v>
      </c>
      <c r="F67">
        <v>422</v>
      </c>
    </row>
    <row r="68" spans="5:6" hidden="1" x14ac:dyDescent="0.25">
      <c r="E68">
        <v>3</v>
      </c>
      <c r="F68">
        <v>450</v>
      </c>
    </row>
    <row r="69" spans="5:6" hidden="1" x14ac:dyDescent="0.25">
      <c r="E69">
        <v>3.2</v>
      </c>
      <c r="F69">
        <v>479</v>
      </c>
    </row>
    <row r="70" spans="5:6" hidden="1" x14ac:dyDescent="0.25">
      <c r="E70">
        <v>3.4</v>
      </c>
      <c r="F70">
        <v>508</v>
      </c>
    </row>
    <row r="71" spans="5:6" hidden="1" x14ac:dyDescent="0.25">
      <c r="E71">
        <v>3.6</v>
      </c>
      <c r="F71">
        <v>538</v>
      </c>
    </row>
    <row r="72" spans="5:6" hidden="1" x14ac:dyDescent="0.25">
      <c r="E72">
        <v>3.8</v>
      </c>
      <c r="F72">
        <v>569</v>
      </c>
    </row>
    <row r="73" spans="5:6" hidden="1" x14ac:dyDescent="0.25">
      <c r="E73">
        <v>4</v>
      </c>
      <c r="F73">
        <v>600</v>
      </c>
    </row>
    <row r="74" spans="5:6" hidden="1" x14ac:dyDescent="0.25"/>
  </sheetData>
  <sheetProtection algorithmName="SHA-512" hashValue="NlgV7Ru1VJT7jGuiI4FxnCdi57acYZ4w1x3WZYgbdLHLJR5NSc7IDVlxCvZGmM/HrWfoPXt9xM0oLS0nKY1uEw==" saltValue="cOkM4St+e2PDjyMgqaR2Xg==" spinCount="100000" sheet="1" objects="1" scenarios="1"/>
  <mergeCells count="4">
    <mergeCell ref="A1:H1"/>
    <mergeCell ref="A2:I2"/>
    <mergeCell ref="A9:A10"/>
    <mergeCell ref="B9:C9"/>
  </mergeCells>
  <conditionalFormatting sqref="D28">
    <cfRule type="cellIs" dxfId="56" priority="54" operator="equal">
      <formula>"Outside DP-range"</formula>
    </cfRule>
    <cfRule type="cellIs" dxfId="55" priority="55" operator="equal">
      <formula>"Under DP område"</formula>
    </cfRule>
  </conditionalFormatting>
  <conditionalFormatting sqref="D11">
    <cfRule type="cellIs" dxfId="54" priority="53" operator="lessThan">
      <formula>$C$41</formula>
    </cfRule>
  </conditionalFormatting>
  <conditionalFormatting sqref="D12">
    <cfRule type="cellIs" dxfId="53" priority="52" operator="lessThan">
      <formula>$C$42</formula>
    </cfRule>
  </conditionalFormatting>
  <conditionalFormatting sqref="D13">
    <cfRule type="cellIs" dxfId="52" priority="51" operator="lessThan">
      <formula>$C$43</formula>
    </cfRule>
  </conditionalFormatting>
  <conditionalFormatting sqref="D14">
    <cfRule type="cellIs" dxfId="51" priority="50" operator="lessThan">
      <formula>$C$44</formula>
    </cfRule>
  </conditionalFormatting>
  <conditionalFormatting sqref="D15">
    <cfRule type="cellIs" dxfId="50" priority="49" operator="lessThan">
      <formula>$C$45</formula>
    </cfRule>
  </conditionalFormatting>
  <conditionalFormatting sqref="D16">
    <cfRule type="cellIs" dxfId="49" priority="48" operator="lessThan">
      <formula>$C$46</formula>
    </cfRule>
  </conditionalFormatting>
  <conditionalFormatting sqref="D19">
    <cfRule type="cellIs" dxfId="48" priority="42" operator="lessThan">
      <formula>$C$49</formula>
    </cfRule>
    <cfRule type="cellIs" dxfId="47" priority="43" operator="lessThan">
      <formula>$B$49</formula>
    </cfRule>
    <cfRule type="cellIs" dxfId="46" priority="47" operator="lessThan">
      <formula>$C$47</formula>
    </cfRule>
  </conditionalFormatting>
  <conditionalFormatting sqref="D20">
    <cfRule type="cellIs" dxfId="45" priority="41" operator="lessThan">
      <formula>$C$50</formula>
    </cfRule>
    <cfRule type="cellIs" dxfId="44" priority="46" operator="lessThan">
      <formula>$C$48</formula>
    </cfRule>
  </conditionalFormatting>
  <conditionalFormatting sqref="D17">
    <cfRule type="cellIs" dxfId="43" priority="45" operator="lessThan">
      <formula>$C$47</formula>
    </cfRule>
  </conditionalFormatting>
  <conditionalFormatting sqref="D18">
    <cfRule type="cellIs" dxfId="42" priority="44" operator="lessThan">
      <formula>$C$48</formula>
    </cfRule>
  </conditionalFormatting>
  <conditionalFormatting sqref="D23:D24">
    <cfRule type="cellIs" dxfId="41" priority="33" operator="lessThan">
      <formula>$C$41</formula>
    </cfRule>
  </conditionalFormatting>
  <conditionalFormatting sqref="D23">
    <cfRule type="cellIs" dxfId="40" priority="24" operator="lessThan">
      <formula>$C$53</formula>
    </cfRule>
    <cfRule type="cellIs" dxfId="39" priority="32" operator="lessThan">
      <formula>$C$51</formula>
    </cfRule>
  </conditionalFormatting>
  <conditionalFormatting sqref="D24">
    <cfRule type="cellIs" dxfId="38" priority="23" operator="lessThan">
      <formula>$C$54</formula>
    </cfRule>
    <cfRule type="cellIs" dxfId="37" priority="31" operator="lessThan">
      <formula>$C$52</formula>
    </cfRule>
  </conditionalFormatting>
  <conditionalFormatting sqref="D21:D22">
    <cfRule type="cellIs" dxfId="36" priority="30" operator="lessThan">
      <formula>$C$41</formula>
    </cfRule>
  </conditionalFormatting>
  <conditionalFormatting sqref="D21">
    <cfRule type="cellIs" dxfId="35" priority="26" operator="lessThan">
      <formula>$C$51</formula>
    </cfRule>
    <cfRule type="cellIs" dxfId="34" priority="27" operator="lessThan">
      <formula>$C$49</formula>
    </cfRule>
    <cfRule type="cellIs" dxfId="33" priority="29" operator="lessThan">
      <formula>$C$51</formula>
    </cfRule>
  </conditionalFormatting>
  <conditionalFormatting sqref="D22">
    <cfRule type="cellIs" dxfId="32" priority="25" operator="lessThan">
      <formula>$C$52</formula>
    </cfRule>
    <cfRule type="cellIs" dxfId="31" priority="28" operator="lessThan">
      <formula>$C$52</formula>
    </cfRule>
  </conditionalFormatting>
  <conditionalFormatting sqref="D25">
    <cfRule type="cellIs" dxfId="30" priority="8" operator="lessThan">
      <formula>$C$41</formula>
    </cfRule>
    <cfRule type="cellIs" dxfId="29" priority="2" operator="lessThan">
      <formula>$C$55</formula>
    </cfRule>
  </conditionalFormatting>
  <conditionalFormatting sqref="D25">
    <cfRule type="cellIs" dxfId="28" priority="6" operator="lessThan">
      <formula>$C$54</formula>
    </cfRule>
    <cfRule type="cellIs" dxfId="27" priority="7" operator="lessThan">
      <formula>$C$52</formula>
    </cfRule>
  </conditionalFormatting>
  <conditionalFormatting sqref="D26">
    <cfRule type="cellIs" dxfId="26" priority="5" operator="lessThan">
      <formula>$C$41</formula>
    </cfRule>
    <cfRule type="cellIs" dxfId="25" priority="1" operator="lessThan">
      <formula>$C$56</formula>
    </cfRule>
  </conditionalFormatting>
  <conditionalFormatting sqref="D26">
    <cfRule type="cellIs" dxfId="24" priority="3" operator="lessThan">
      <formula>$C$54</formula>
    </cfRule>
    <cfRule type="cellIs" dxfId="23" priority="4" operator="lessThan">
      <formula>$C$52</formula>
    </cfRule>
  </conditionalFormatting>
  <pageMargins left="0.78740157480314965" right="0.39370078740157483" top="0.98425196850393704" bottom="0.98425196850393704" header="0.51181102362204722" footer="0.51181102362204722"/>
  <pageSetup paperSize="9" scale="105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0"/>
  <sheetViews>
    <sheetView showGridLines="0" zoomScaleNormal="100" workbookViewId="0">
      <selection activeCell="F5" sqref="F5:G5"/>
    </sheetView>
  </sheetViews>
  <sheetFormatPr baseColWidth="10" defaultColWidth="11.1796875" defaultRowHeight="12.5" x14ac:dyDescent="0.25"/>
  <cols>
    <col min="1" max="1" width="4.7265625" customWidth="1"/>
    <col min="2" max="2" width="13.81640625" customWidth="1"/>
    <col min="3" max="3" width="17.7265625" bestFit="1" customWidth="1"/>
    <col min="4" max="4" width="12" bestFit="1" customWidth="1"/>
    <col min="5" max="5" width="9.453125" customWidth="1"/>
    <col min="6" max="6" width="13.54296875" bestFit="1" customWidth="1"/>
    <col min="7" max="7" width="15.1796875" bestFit="1" customWidth="1"/>
    <col min="8" max="8" width="8.7265625" customWidth="1"/>
    <col min="9" max="13" width="10.7265625" customWidth="1"/>
    <col min="14" max="15" width="8.7265625" customWidth="1"/>
    <col min="16" max="28" width="11.1796875" customWidth="1"/>
  </cols>
  <sheetData>
    <row r="1" spans="1:16" ht="20.5" thickTop="1" x14ac:dyDescent="0.4">
      <c r="A1" s="278" t="s">
        <v>320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54"/>
      <c r="N1" s="142"/>
      <c r="O1" s="96"/>
      <c r="P1" s="95"/>
    </row>
    <row r="2" spans="1:16" ht="20" x14ac:dyDescent="0.4">
      <c r="A2" s="288" t="s">
        <v>321</v>
      </c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90"/>
      <c r="O2" s="94"/>
      <c r="P2" s="2"/>
    </row>
    <row r="3" spans="1:16" ht="18" x14ac:dyDescent="0.4">
      <c r="A3" s="93"/>
      <c r="B3" s="2"/>
      <c r="C3" s="2"/>
      <c r="D3" s="2"/>
      <c r="E3" s="2"/>
      <c r="F3" s="2"/>
      <c r="G3" s="2"/>
      <c r="H3" s="59"/>
      <c r="I3" s="59"/>
      <c r="J3" s="59"/>
      <c r="K3" s="59"/>
      <c r="L3" s="59"/>
      <c r="M3" s="59"/>
      <c r="N3" s="90"/>
      <c r="O3" s="59"/>
      <c r="P3" s="2"/>
    </row>
    <row r="4" spans="1:16" ht="13" x14ac:dyDescent="0.3">
      <c r="A4" s="10"/>
      <c r="B4" s="11"/>
      <c r="C4" s="2"/>
      <c r="D4" s="5" t="s">
        <v>1</v>
      </c>
      <c r="E4" s="2"/>
      <c r="G4" s="62"/>
      <c r="H4" s="62"/>
      <c r="N4" s="80"/>
      <c r="O4" s="59"/>
      <c r="P4" s="2"/>
    </row>
    <row r="5" spans="1:16" ht="13" x14ac:dyDescent="0.3">
      <c r="A5" s="10"/>
      <c r="B5" s="62"/>
      <c r="C5" s="149" t="s">
        <v>340</v>
      </c>
      <c r="D5" s="189">
        <v>50</v>
      </c>
      <c r="E5" s="104" t="s">
        <v>252</v>
      </c>
      <c r="F5" s="235" t="s">
        <v>376</v>
      </c>
      <c r="G5" s="234" t="s">
        <v>379</v>
      </c>
      <c r="H5" s="62"/>
      <c r="N5" s="90"/>
      <c r="O5" s="59"/>
      <c r="P5" s="59"/>
    </row>
    <row r="6" spans="1:16" ht="13" x14ac:dyDescent="0.3">
      <c r="A6" s="10"/>
      <c r="B6" s="91"/>
      <c r="C6" s="149" t="s">
        <v>328</v>
      </c>
      <c r="D6" s="189" t="s">
        <v>248</v>
      </c>
      <c r="E6" s="2"/>
      <c r="F6" s="11"/>
      <c r="G6" s="11"/>
      <c r="H6" s="62"/>
      <c r="I6" s="62"/>
      <c r="J6" s="61"/>
      <c r="K6" s="61"/>
      <c r="L6" s="61"/>
      <c r="M6" s="61"/>
      <c r="N6" s="80"/>
      <c r="O6" s="59"/>
      <c r="P6" s="59"/>
    </row>
    <row r="7" spans="1:16" x14ac:dyDescent="0.25">
      <c r="A7" s="10"/>
      <c r="E7" s="2"/>
      <c r="N7" s="90"/>
      <c r="O7" s="59"/>
      <c r="P7" s="59"/>
    </row>
    <row r="8" spans="1:16" x14ac:dyDescent="0.25">
      <c r="A8" s="10"/>
      <c r="E8" s="2"/>
      <c r="N8" s="90"/>
      <c r="O8" s="59"/>
      <c r="P8" s="59"/>
    </row>
    <row r="9" spans="1:16" ht="13" x14ac:dyDescent="0.3">
      <c r="A9" s="10"/>
      <c r="C9" s="11"/>
      <c r="E9" s="2"/>
      <c r="N9" s="90"/>
      <c r="O9" s="59"/>
      <c r="P9" s="59"/>
    </row>
    <row r="10" spans="1:16" ht="13" x14ac:dyDescent="0.3">
      <c r="A10" s="10"/>
      <c r="B10" s="62"/>
      <c r="C10" s="188" t="s">
        <v>341</v>
      </c>
      <c r="D10" s="236">
        <f>IF(D5&gt;C37,"NOT POSSIBLE",IF(D5&lt;C36,(((D5/100)^0.5)*C34*1000),C35))</f>
        <v>25</v>
      </c>
      <c r="E10" s="62" t="s">
        <v>254</v>
      </c>
      <c r="F10" s="62"/>
      <c r="G10" s="62"/>
      <c r="H10" s="62"/>
      <c r="I10" s="62"/>
      <c r="J10" s="62"/>
      <c r="K10" s="62"/>
      <c r="L10" s="62"/>
      <c r="M10" s="62"/>
      <c r="N10" s="90"/>
      <c r="O10" s="59"/>
      <c r="P10" s="62"/>
    </row>
    <row r="11" spans="1:16" ht="13" x14ac:dyDescent="0.3">
      <c r="A11" s="10"/>
      <c r="B11" s="11"/>
      <c r="C11" s="11"/>
      <c r="D11" s="11"/>
      <c r="E11" s="60"/>
      <c r="N11" s="80"/>
      <c r="O11" s="59"/>
      <c r="P11" s="62"/>
    </row>
    <row r="12" spans="1:16" ht="13" x14ac:dyDescent="0.3">
      <c r="A12" s="10"/>
      <c r="B12" s="11"/>
      <c r="C12" s="60"/>
      <c r="D12" s="11"/>
      <c r="E12" s="2"/>
      <c r="N12" s="89"/>
      <c r="O12" s="59"/>
      <c r="P12" s="62"/>
    </row>
    <row r="13" spans="1:16" ht="13" x14ac:dyDescent="0.3">
      <c r="A13" s="10"/>
      <c r="B13" s="62"/>
      <c r="E13" s="59"/>
      <c r="N13" s="80"/>
      <c r="O13" s="59"/>
      <c r="P13" s="59"/>
    </row>
    <row r="14" spans="1:16" ht="13.5" thickBot="1" x14ac:dyDescent="0.35">
      <c r="A14" s="10"/>
      <c r="B14" s="59"/>
      <c r="C14" s="59"/>
      <c r="D14" s="59"/>
      <c r="E14" s="59"/>
      <c r="F14" s="62"/>
      <c r="G14" s="62"/>
      <c r="H14" s="62"/>
      <c r="I14" s="62"/>
      <c r="J14" s="62"/>
      <c r="K14" s="62"/>
      <c r="L14" s="62"/>
      <c r="M14" s="62"/>
      <c r="N14" s="80"/>
      <c r="O14" s="59"/>
      <c r="P14" s="59"/>
    </row>
    <row r="15" spans="1:16" ht="13.5" thickBot="1" x14ac:dyDescent="0.35">
      <c r="A15" s="10"/>
      <c r="B15" s="291" t="s">
        <v>258</v>
      </c>
      <c r="C15" s="292"/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80"/>
      <c r="O15" s="59"/>
      <c r="P15" s="62"/>
    </row>
    <row r="16" spans="1:16" ht="13" x14ac:dyDescent="0.3">
      <c r="A16" s="10"/>
      <c r="B16" s="88" t="s">
        <v>257</v>
      </c>
      <c r="C16" s="87" t="s">
        <v>256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80"/>
      <c r="O16" s="59"/>
      <c r="P16" s="62"/>
    </row>
    <row r="17" spans="1:16" ht="13" x14ac:dyDescent="0.3">
      <c r="A17" s="10"/>
      <c r="B17" s="76" t="s">
        <v>0</v>
      </c>
      <c r="C17" s="86" t="s">
        <v>255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80"/>
      <c r="O17" s="59"/>
      <c r="P17" s="62"/>
    </row>
    <row r="18" spans="1:16" ht="13.5" thickBot="1" x14ac:dyDescent="0.35">
      <c r="A18" s="10"/>
      <c r="B18" s="75" t="s">
        <v>253</v>
      </c>
      <c r="C18" s="74" t="s">
        <v>254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80"/>
      <c r="O18" s="59"/>
      <c r="P18" s="62"/>
    </row>
    <row r="19" spans="1:16" ht="13" x14ac:dyDescent="0.3">
      <c r="A19" s="10"/>
      <c r="B19" s="85">
        <v>15</v>
      </c>
      <c r="C19" s="84" t="s">
        <v>251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80"/>
      <c r="O19" s="59"/>
      <c r="P19" s="62"/>
    </row>
    <row r="20" spans="1:16" ht="13" x14ac:dyDescent="0.3">
      <c r="A20" s="10"/>
      <c r="B20" s="73">
        <v>20</v>
      </c>
      <c r="C20" s="72" t="s">
        <v>251</v>
      </c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80"/>
      <c r="O20" s="59"/>
      <c r="P20" s="62"/>
    </row>
    <row r="21" spans="1:16" ht="13" x14ac:dyDescent="0.3">
      <c r="A21" s="10"/>
      <c r="B21" s="82">
        <v>25</v>
      </c>
      <c r="C21" s="83" t="s">
        <v>251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80"/>
      <c r="O21" s="59"/>
      <c r="P21" s="62"/>
    </row>
    <row r="22" spans="1:16" ht="13" x14ac:dyDescent="0.3">
      <c r="A22" s="10"/>
      <c r="B22" s="71"/>
      <c r="C22" s="70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80"/>
      <c r="O22" s="59"/>
      <c r="P22" s="62"/>
    </row>
    <row r="23" spans="1:16" ht="13" x14ac:dyDescent="0.3">
      <c r="A23" s="10"/>
      <c r="B23" s="82" t="s">
        <v>250</v>
      </c>
      <c r="C23" s="81" t="s">
        <v>249</v>
      </c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80"/>
      <c r="O23" s="59"/>
      <c r="P23" s="62"/>
    </row>
    <row r="24" spans="1:16" ht="13" x14ac:dyDescent="0.3">
      <c r="A24" s="10"/>
      <c r="B24" s="71">
        <v>32</v>
      </c>
      <c r="C24" s="70" t="s">
        <v>249</v>
      </c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80"/>
      <c r="O24" s="59"/>
      <c r="P24" s="62"/>
    </row>
    <row r="25" spans="1:16" ht="13" x14ac:dyDescent="0.3">
      <c r="A25" s="10"/>
      <c r="B25" s="82">
        <v>40</v>
      </c>
      <c r="C25" s="81" t="s">
        <v>249</v>
      </c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80"/>
      <c r="O25" s="59"/>
      <c r="P25" s="62"/>
    </row>
    <row r="26" spans="1:16" ht="13.5" thickBot="1" x14ac:dyDescent="0.35">
      <c r="A26" s="10"/>
      <c r="B26" s="69">
        <v>50</v>
      </c>
      <c r="C26" s="68" t="s">
        <v>249</v>
      </c>
      <c r="D26" s="62"/>
      <c r="E26" s="62"/>
      <c r="F26" s="62"/>
      <c r="G26" s="62"/>
      <c r="H26" s="62"/>
      <c r="I26" s="62"/>
      <c r="J26" s="62"/>
      <c r="K26" s="62"/>
      <c r="L26" s="62"/>
      <c r="M26" s="62"/>
      <c r="N26" s="80"/>
      <c r="O26" s="59"/>
      <c r="P26" s="62"/>
    </row>
    <row r="27" spans="1:16" ht="13.5" thickBot="1" x14ac:dyDescent="0.35">
      <c r="A27" s="10"/>
      <c r="B27" s="60"/>
      <c r="C27" s="60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80"/>
      <c r="O27" s="59"/>
      <c r="P27" s="62"/>
    </row>
    <row r="28" spans="1:16" ht="13" x14ac:dyDescent="0.3">
      <c r="A28" s="10"/>
      <c r="B28" s="190" t="s">
        <v>355</v>
      </c>
      <c r="C28" s="191" t="s">
        <v>346</v>
      </c>
      <c r="D28" s="192" t="s">
        <v>347</v>
      </c>
      <c r="E28" s="62"/>
      <c r="F28" s="62"/>
      <c r="G28" s="62"/>
      <c r="H28" s="62"/>
      <c r="I28" s="62"/>
      <c r="J28" s="62"/>
      <c r="K28" s="62"/>
      <c r="L28" s="62"/>
      <c r="M28" s="62"/>
      <c r="N28" s="80"/>
      <c r="O28" s="59"/>
      <c r="P28" s="62"/>
    </row>
    <row r="29" spans="1:16" ht="13" x14ac:dyDescent="0.3">
      <c r="A29" s="10"/>
      <c r="B29" s="193" t="s">
        <v>348</v>
      </c>
      <c r="C29" s="194" t="s">
        <v>349</v>
      </c>
      <c r="D29" s="72" t="s">
        <v>350</v>
      </c>
      <c r="E29" s="62"/>
      <c r="F29" s="62"/>
      <c r="G29" s="62"/>
      <c r="H29" s="62"/>
      <c r="I29" s="62"/>
      <c r="J29" s="62"/>
      <c r="K29" s="62"/>
      <c r="L29" s="62"/>
      <c r="M29" s="62"/>
      <c r="N29" s="80"/>
      <c r="O29" s="59"/>
      <c r="P29" s="62"/>
    </row>
    <row r="30" spans="1:16" ht="13.5" thickBot="1" x14ac:dyDescent="0.35">
      <c r="A30" s="10"/>
      <c r="B30" s="195" t="s">
        <v>351</v>
      </c>
      <c r="C30" s="196" t="s">
        <v>352</v>
      </c>
      <c r="D30" s="68" t="s">
        <v>353</v>
      </c>
      <c r="E30" s="62"/>
      <c r="F30" s="62"/>
      <c r="G30" s="62"/>
      <c r="H30" s="62"/>
      <c r="I30" s="62"/>
      <c r="J30" s="62"/>
      <c r="K30" s="62"/>
      <c r="L30" s="62"/>
      <c r="M30" s="62"/>
      <c r="N30" s="80"/>
      <c r="O30" s="59"/>
      <c r="P30" s="62"/>
    </row>
    <row r="31" spans="1:16" ht="13" x14ac:dyDescent="0.3">
      <c r="A31" s="10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80"/>
      <c r="O31" s="59"/>
      <c r="P31" s="62"/>
    </row>
    <row r="32" spans="1:16" ht="13.5" thickBot="1" x14ac:dyDescent="0.35">
      <c r="A32" s="198" t="s">
        <v>354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8"/>
    </row>
    <row r="33" spans="1:14" ht="12.75" customHeight="1" thickTop="1" x14ac:dyDescent="0.3">
      <c r="A33" s="65"/>
      <c r="B33" s="60"/>
      <c r="C33" s="61"/>
      <c r="D33" s="60"/>
      <c r="E33" s="62"/>
      <c r="F33" s="62"/>
      <c r="G33" s="62"/>
      <c r="H33" s="62"/>
      <c r="I33" s="60"/>
      <c r="J33" s="62"/>
      <c r="K33" s="62"/>
      <c r="L33" s="59"/>
      <c r="M33" s="59"/>
      <c r="N33" s="59"/>
    </row>
    <row r="34" spans="1:14" ht="12.75" hidden="1" customHeight="1" thickTop="1" x14ac:dyDescent="0.3">
      <c r="A34" s="11"/>
      <c r="B34" s="173" t="s">
        <v>322</v>
      </c>
      <c r="C34" s="174">
        <f>VLOOKUP($D$6,$B$39:$F$196,2)</f>
        <v>9.4491118252306799E-2</v>
      </c>
      <c r="D34" s="175" t="s">
        <v>324</v>
      </c>
      <c r="E34" s="62"/>
      <c r="F34" s="62"/>
      <c r="G34" s="62"/>
      <c r="H34" s="62"/>
      <c r="I34" s="60"/>
      <c r="J34" s="62"/>
      <c r="K34" s="62"/>
      <c r="L34" s="59"/>
      <c r="M34" s="59"/>
      <c r="N34" s="59"/>
    </row>
    <row r="35" spans="1:14" ht="12.75" hidden="1" customHeight="1" x14ac:dyDescent="0.3">
      <c r="A35" s="11"/>
      <c r="B35" s="159" t="s">
        <v>323</v>
      </c>
      <c r="C35" s="162">
        <f>VLOOKUP($D$6,$B$39:$F$196,3)</f>
        <v>25</v>
      </c>
      <c r="D35" s="161" t="s">
        <v>254</v>
      </c>
      <c r="E35" s="62"/>
      <c r="F35" s="62"/>
      <c r="G35" s="62"/>
      <c r="H35" s="62"/>
      <c r="I35" s="60"/>
      <c r="J35" s="62"/>
      <c r="K35" s="62"/>
      <c r="L35" s="59"/>
      <c r="M35" s="59"/>
      <c r="N35" s="59"/>
    </row>
    <row r="36" spans="1:14" ht="12.75" hidden="1" customHeight="1" x14ac:dyDescent="0.3">
      <c r="A36" s="11"/>
      <c r="B36" s="159" t="s">
        <v>326</v>
      </c>
      <c r="C36" s="162">
        <f>VLOOKUP($D$6,$B$39:$F$196,4)</f>
        <v>7</v>
      </c>
      <c r="D36" s="161" t="s">
        <v>252</v>
      </c>
      <c r="E36" s="62"/>
      <c r="F36" s="62"/>
      <c r="G36" s="62"/>
      <c r="H36" s="62"/>
      <c r="I36" s="60"/>
      <c r="J36" s="62"/>
      <c r="K36" s="62"/>
      <c r="L36" s="59"/>
      <c r="M36" s="59"/>
      <c r="N36" s="59"/>
    </row>
    <row r="37" spans="1:14" ht="12.75" hidden="1" customHeight="1" thickBot="1" x14ac:dyDescent="0.35">
      <c r="A37" s="11"/>
      <c r="B37" s="163" t="s">
        <v>327</v>
      </c>
      <c r="C37" s="164">
        <f>VLOOKUP($D$6,$B$39:$F$196,5)</f>
        <v>350</v>
      </c>
      <c r="D37" s="165" t="s">
        <v>252</v>
      </c>
      <c r="E37" s="62"/>
      <c r="F37" s="62"/>
      <c r="G37" s="62"/>
      <c r="H37" s="62"/>
      <c r="I37" s="60"/>
      <c r="J37" s="62"/>
      <c r="K37" s="62"/>
      <c r="L37" s="59"/>
      <c r="M37" s="59"/>
      <c r="N37" s="59"/>
    </row>
    <row r="38" spans="1:14" ht="12.75" hidden="1" customHeight="1" thickTop="1" thickBot="1" x14ac:dyDescent="0.3"/>
    <row r="39" spans="1:14" ht="12.75" hidden="1" customHeight="1" thickTop="1" x14ac:dyDescent="0.25">
      <c r="B39" s="36" t="s">
        <v>259</v>
      </c>
      <c r="C39" s="42" t="s">
        <v>87</v>
      </c>
      <c r="D39" s="42" t="s">
        <v>254</v>
      </c>
      <c r="E39" s="42" t="s">
        <v>85</v>
      </c>
      <c r="F39" s="150" t="s">
        <v>325</v>
      </c>
    </row>
    <row r="40" spans="1:14" ht="12.75" hidden="1" customHeight="1" x14ac:dyDescent="0.25">
      <c r="B40" s="38" t="s">
        <v>238</v>
      </c>
      <c r="C40" s="143">
        <f t="shared" ref="C40:C71" si="0">D40/1000/(E40/100)^0.5</f>
        <v>0.20788046015507497</v>
      </c>
      <c r="D40" s="67">
        <v>55</v>
      </c>
      <c r="E40" s="67">
        <v>7</v>
      </c>
      <c r="F40" s="3">
        <v>600</v>
      </c>
    </row>
    <row r="41" spans="1:14" ht="12.75" hidden="1" customHeight="1" x14ac:dyDescent="0.25">
      <c r="B41" s="38" t="s">
        <v>234</v>
      </c>
      <c r="C41" s="143">
        <f t="shared" si="0"/>
        <v>0.2651650429449553</v>
      </c>
      <c r="D41" s="67">
        <v>75</v>
      </c>
      <c r="E41" s="67">
        <v>8</v>
      </c>
      <c r="F41" s="3">
        <v>600</v>
      </c>
    </row>
    <row r="42" spans="1:14" ht="12.75" hidden="1" customHeight="1" x14ac:dyDescent="0.25">
      <c r="B42" s="38" t="s">
        <v>230</v>
      </c>
      <c r="C42" s="143">
        <f t="shared" si="0"/>
        <v>0.28000000000000003</v>
      </c>
      <c r="D42" s="67">
        <v>84</v>
      </c>
      <c r="E42" s="67">
        <v>9</v>
      </c>
      <c r="F42" s="3">
        <v>600</v>
      </c>
    </row>
    <row r="43" spans="1:14" ht="12.75" hidden="1" customHeight="1" x14ac:dyDescent="0.25">
      <c r="B43" s="38" t="s">
        <v>226</v>
      </c>
      <c r="C43" s="143">
        <f t="shared" si="0"/>
        <v>0.32887687665751142</v>
      </c>
      <c r="D43" s="67">
        <v>104</v>
      </c>
      <c r="E43" s="67">
        <v>10</v>
      </c>
      <c r="F43" s="3">
        <v>600</v>
      </c>
    </row>
    <row r="44" spans="1:14" ht="12.75" hidden="1" customHeight="1" x14ac:dyDescent="0.25">
      <c r="B44" s="38" t="s">
        <v>222</v>
      </c>
      <c r="C44" s="143">
        <f t="shared" si="0"/>
        <v>0.36049965325919525</v>
      </c>
      <c r="D44" s="67">
        <v>114</v>
      </c>
      <c r="E44" s="67">
        <v>10</v>
      </c>
      <c r="F44" s="3">
        <v>600</v>
      </c>
    </row>
    <row r="45" spans="1:14" ht="12.75" hidden="1" customHeight="1" x14ac:dyDescent="0.25">
      <c r="B45" s="38" t="s">
        <v>218</v>
      </c>
      <c r="C45" s="143">
        <f t="shared" si="0"/>
        <v>0.38894963450531511</v>
      </c>
      <c r="D45" s="67">
        <v>129</v>
      </c>
      <c r="E45" s="67">
        <v>11</v>
      </c>
      <c r="F45" s="3">
        <v>600</v>
      </c>
    </row>
    <row r="46" spans="1:14" ht="12.75" hidden="1" customHeight="1" x14ac:dyDescent="0.25">
      <c r="B46" s="38" t="s">
        <v>214</v>
      </c>
      <c r="C46" s="143">
        <f t="shared" si="0"/>
        <v>0.46432747064975599</v>
      </c>
      <c r="D46" s="67">
        <v>154</v>
      </c>
      <c r="E46" s="67">
        <v>11</v>
      </c>
      <c r="F46" s="3">
        <v>600</v>
      </c>
    </row>
    <row r="47" spans="1:14" ht="12.75" hidden="1" customHeight="1" x14ac:dyDescent="0.25">
      <c r="B47" s="38" t="s">
        <v>210</v>
      </c>
      <c r="C47" s="143">
        <f t="shared" si="0"/>
        <v>0.50518148554092246</v>
      </c>
      <c r="D47" s="64">
        <v>175</v>
      </c>
      <c r="E47" s="64">
        <v>12</v>
      </c>
      <c r="F47" s="3">
        <v>600</v>
      </c>
    </row>
    <row r="48" spans="1:14" ht="12.75" hidden="1" customHeight="1" x14ac:dyDescent="0.25">
      <c r="B48" s="38" t="s">
        <v>206</v>
      </c>
      <c r="C48" s="143">
        <f t="shared" si="0"/>
        <v>0.58889727457341823</v>
      </c>
      <c r="D48" s="66">
        <v>204</v>
      </c>
      <c r="E48" s="64">
        <v>12</v>
      </c>
      <c r="F48" s="3">
        <v>600</v>
      </c>
    </row>
    <row r="49" spans="2:6" ht="12.75" hidden="1" customHeight="1" x14ac:dyDescent="0.25">
      <c r="B49" s="38" t="s">
        <v>202</v>
      </c>
      <c r="C49" s="143">
        <f t="shared" si="0"/>
        <v>0.69570707437349899</v>
      </c>
      <c r="D49" s="64">
        <v>241</v>
      </c>
      <c r="E49" s="64">
        <v>12</v>
      </c>
      <c r="F49" s="3">
        <v>600</v>
      </c>
    </row>
    <row r="50" spans="2:6" ht="12.75" hidden="1" customHeight="1" x14ac:dyDescent="0.25">
      <c r="B50" s="38" t="s">
        <v>198</v>
      </c>
      <c r="C50" s="143">
        <f t="shared" si="0"/>
        <v>0.80540362551952804</v>
      </c>
      <c r="D50" s="64">
        <v>279</v>
      </c>
      <c r="E50" s="64">
        <v>12</v>
      </c>
      <c r="F50" s="3">
        <v>600</v>
      </c>
    </row>
    <row r="51" spans="2:6" ht="12.75" hidden="1" customHeight="1" x14ac:dyDescent="0.25">
      <c r="B51" s="38" t="s">
        <v>194</v>
      </c>
      <c r="C51" s="143">
        <f t="shared" si="0"/>
        <v>0.88752031396036657</v>
      </c>
      <c r="D51" s="64">
        <v>320</v>
      </c>
      <c r="E51" s="64">
        <v>13</v>
      </c>
      <c r="F51" s="3">
        <v>600</v>
      </c>
    </row>
    <row r="52" spans="2:6" ht="12.75" hidden="1" customHeight="1" x14ac:dyDescent="0.25">
      <c r="B52" s="38" t="s">
        <v>190</v>
      </c>
      <c r="C52" s="143">
        <f t="shared" si="0"/>
        <v>0.97072534339415084</v>
      </c>
      <c r="D52" s="64">
        <v>350</v>
      </c>
      <c r="E52" s="64">
        <v>13</v>
      </c>
      <c r="F52" s="3">
        <v>600</v>
      </c>
    </row>
    <row r="53" spans="2:6" ht="12.75" hidden="1" customHeight="1" x14ac:dyDescent="0.25">
      <c r="B53" s="38" t="s">
        <v>186</v>
      </c>
      <c r="C53" s="143">
        <f t="shared" si="0"/>
        <v>1.1094003924504583</v>
      </c>
      <c r="D53" s="64">
        <v>400</v>
      </c>
      <c r="E53" s="64">
        <v>13</v>
      </c>
      <c r="F53" s="3">
        <v>600</v>
      </c>
    </row>
    <row r="54" spans="2:6" ht="12.75" hidden="1" customHeight="1" x14ac:dyDescent="0.25">
      <c r="B54" s="38" t="s">
        <v>182</v>
      </c>
      <c r="C54" s="143">
        <f t="shared" si="0"/>
        <v>1.2748361239222641</v>
      </c>
      <c r="D54" s="64">
        <v>477</v>
      </c>
      <c r="E54" s="64">
        <v>14</v>
      </c>
      <c r="F54" s="3">
        <v>600</v>
      </c>
    </row>
    <row r="55" spans="2:6" ht="12.75" hidden="1" customHeight="1" x14ac:dyDescent="0.25">
      <c r="B55" s="38" t="s">
        <v>178</v>
      </c>
      <c r="C55" s="143">
        <f t="shared" si="0"/>
        <v>1.4565737684227129</v>
      </c>
      <c r="D55" s="64">
        <v>545</v>
      </c>
      <c r="E55" s="64">
        <v>14</v>
      </c>
      <c r="F55" s="3">
        <v>600</v>
      </c>
    </row>
    <row r="56" spans="2:6" ht="12.75" hidden="1" customHeight="1" x14ac:dyDescent="0.25">
      <c r="B56" s="38" t="s">
        <v>174</v>
      </c>
      <c r="C56" s="143">
        <f t="shared" si="0"/>
        <v>1.6436566377614099</v>
      </c>
      <c r="D56" s="64">
        <v>615</v>
      </c>
      <c r="E56" s="64">
        <v>14</v>
      </c>
      <c r="F56" s="3">
        <v>600</v>
      </c>
    </row>
    <row r="57" spans="2:6" ht="12.75" hidden="1" customHeight="1" x14ac:dyDescent="0.25">
      <c r="B57" s="38" t="s">
        <v>170</v>
      </c>
      <c r="C57" s="143">
        <f t="shared" si="0"/>
        <v>1.7906503208132434</v>
      </c>
      <c r="D57" s="64">
        <v>670</v>
      </c>
      <c r="E57" s="64">
        <v>14</v>
      </c>
      <c r="F57" s="3">
        <v>600</v>
      </c>
    </row>
    <row r="58" spans="2:6" ht="12.75" hidden="1" customHeight="1" x14ac:dyDescent="0.25">
      <c r="B58" s="38" t="s">
        <v>166</v>
      </c>
      <c r="C58" s="143">
        <f t="shared" si="0"/>
        <v>1.9670427404754434</v>
      </c>
      <c r="D58" s="64">
        <v>736</v>
      </c>
      <c r="E58" s="64">
        <v>14</v>
      </c>
      <c r="F58" s="3">
        <v>600</v>
      </c>
    </row>
    <row r="59" spans="2:6" ht="12.75" hidden="1" customHeight="1" x14ac:dyDescent="0.25">
      <c r="B59" s="38" t="s">
        <v>162</v>
      </c>
      <c r="C59" s="143">
        <f t="shared" si="0"/>
        <v>1.9975000000000001</v>
      </c>
      <c r="D59" s="64">
        <v>799</v>
      </c>
      <c r="E59" s="64">
        <v>16</v>
      </c>
      <c r="F59" s="3">
        <v>600</v>
      </c>
    </row>
    <row r="60" spans="2:6" ht="12.75" hidden="1" customHeight="1" x14ac:dyDescent="0.25">
      <c r="B60" s="38" t="s">
        <v>158</v>
      </c>
      <c r="C60" s="143">
        <f t="shared" si="0"/>
        <v>1.9959168846738875</v>
      </c>
      <c r="D60" s="64">
        <v>870</v>
      </c>
      <c r="E60" s="64">
        <v>19</v>
      </c>
      <c r="F60" s="3">
        <v>600</v>
      </c>
    </row>
    <row r="61" spans="2:6" ht="12.75" hidden="1" customHeight="1" x14ac:dyDescent="0.25">
      <c r="B61" s="38" t="s">
        <v>154</v>
      </c>
      <c r="C61" s="143">
        <f t="shared" si="0"/>
        <v>2.042519452608889</v>
      </c>
      <c r="D61" s="64">
        <v>936</v>
      </c>
      <c r="E61" s="64">
        <v>21</v>
      </c>
      <c r="F61" s="3">
        <v>600</v>
      </c>
    </row>
    <row r="62" spans="2:6" ht="12.75" hidden="1" customHeight="1" x14ac:dyDescent="0.25">
      <c r="B62" s="38" t="s">
        <v>150</v>
      </c>
      <c r="C62" s="143">
        <f t="shared" si="0"/>
        <v>2.1746473068272265</v>
      </c>
      <c r="D62" s="64">
        <v>1020</v>
      </c>
      <c r="E62" s="64">
        <v>22</v>
      </c>
      <c r="F62" s="3">
        <v>600</v>
      </c>
    </row>
    <row r="63" spans="2:6" ht="12.75" hidden="1" customHeight="1" x14ac:dyDescent="0.25">
      <c r="B63" s="38" t="s">
        <v>146</v>
      </c>
      <c r="C63" s="143">
        <f t="shared" si="0"/>
        <v>2.3046997438041488</v>
      </c>
      <c r="D63" s="64">
        <v>1081</v>
      </c>
      <c r="E63" s="64">
        <v>22</v>
      </c>
      <c r="F63" s="3">
        <v>600</v>
      </c>
    </row>
    <row r="64" spans="2:6" ht="12.75" hidden="1" customHeight="1" x14ac:dyDescent="0.25">
      <c r="B64" s="38" t="s">
        <v>142</v>
      </c>
      <c r="C64" s="143">
        <f t="shared" si="0"/>
        <v>2.5477485604495449</v>
      </c>
      <c r="D64" s="64">
        <v>1195</v>
      </c>
      <c r="E64" s="64">
        <v>22</v>
      </c>
      <c r="F64" s="3">
        <v>600</v>
      </c>
    </row>
    <row r="65" spans="2:6" ht="12.75" hidden="1" customHeight="1" x14ac:dyDescent="0.25">
      <c r="B65" s="38" t="s">
        <v>138</v>
      </c>
      <c r="C65" s="143">
        <f t="shared" si="0"/>
        <v>2.783667427661948</v>
      </c>
      <c r="D65" s="64">
        <v>1335</v>
      </c>
      <c r="E65" s="64">
        <v>23</v>
      </c>
      <c r="F65" s="3">
        <v>600</v>
      </c>
    </row>
    <row r="66" spans="2:6" ht="12.75" hidden="1" customHeight="1" x14ac:dyDescent="0.25">
      <c r="B66" s="38" t="s">
        <v>134</v>
      </c>
      <c r="C66" s="143">
        <f t="shared" si="0"/>
        <v>3.092268760466419</v>
      </c>
      <c r="D66" s="64">
        <v>1483</v>
      </c>
      <c r="E66" s="64">
        <v>23</v>
      </c>
      <c r="F66" s="3">
        <v>600</v>
      </c>
    </row>
    <row r="67" spans="2:6" ht="12.75" hidden="1" customHeight="1" x14ac:dyDescent="0.25">
      <c r="B67" s="38" t="s">
        <v>130</v>
      </c>
      <c r="C67" s="143">
        <f t="shared" si="0"/>
        <v>3.296612886242352</v>
      </c>
      <c r="D67" s="64">
        <v>1581</v>
      </c>
      <c r="E67" s="64">
        <v>23</v>
      </c>
      <c r="F67" s="3">
        <v>600</v>
      </c>
    </row>
    <row r="68" spans="2:6" ht="12.75" hidden="1" customHeight="1" x14ac:dyDescent="0.25">
      <c r="B68" s="38" t="s">
        <v>126</v>
      </c>
      <c r="C68" s="143">
        <f t="shared" si="0"/>
        <v>3.6211623364144652</v>
      </c>
      <c r="D68" s="64">
        <v>1774</v>
      </c>
      <c r="E68" s="64">
        <v>24</v>
      </c>
      <c r="F68" s="3">
        <v>600</v>
      </c>
    </row>
    <row r="69" spans="2:6" ht="12.75" hidden="1" customHeight="1" x14ac:dyDescent="0.25">
      <c r="B69" s="38" t="s">
        <v>122</v>
      </c>
      <c r="C69" s="143">
        <f t="shared" si="0"/>
        <v>3.8436576547172705</v>
      </c>
      <c r="D69" s="64">
        <v>1883</v>
      </c>
      <c r="E69" s="64">
        <v>24</v>
      </c>
      <c r="F69" s="3">
        <v>600</v>
      </c>
    </row>
    <row r="70" spans="2:6" ht="12.75" hidden="1" customHeight="1" x14ac:dyDescent="0.25">
      <c r="B70" s="38" t="s">
        <v>118</v>
      </c>
      <c r="C70" s="143">
        <f t="shared" si="0"/>
        <v>4.16</v>
      </c>
      <c r="D70" s="64">
        <v>2080</v>
      </c>
      <c r="E70" s="64">
        <v>25</v>
      </c>
      <c r="F70" s="3">
        <v>600</v>
      </c>
    </row>
    <row r="71" spans="2:6" ht="12.75" hidden="1" customHeight="1" x14ac:dyDescent="0.25">
      <c r="B71" s="38" t="s">
        <v>114</v>
      </c>
      <c r="C71" s="143">
        <f t="shared" si="0"/>
        <v>4.4145742019605221</v>
      </c>
      <c r="D71" s="64">
        <v>2251</v>
      </c>
      <c r="E71" s="64">
        <v>26</v>
      </c>
      <c r="F71" s="3">
        <v>600</v>
      </c>
    </row>
    <row r="72" spans="2:6" ht="12.75" hidden="1" customHeight="1" x14ac:dyDescent="0.25">
      <c r="B72" s="38" t="s">
        <v>110</v>
      </c>
      <c r="C72" s="143">
        <f t="shared" ref="C72:C103" si="1">D72/1000/(E72/100)^0.5</f>
        <v>4.4629175808358061</v>
      </c>
      <c r="D72" s="64">
        <v>2319</v>
      </c>
      <c r="E72" s="64">
        <v>27</v>
      </c>
      <c r="F72" s="3">
        <v>600</v>
      </c>
    </row>
    <row r="73" spans="2:6" ht="12.75" hidden="1" customHeight="1" x14ac:dyDescent="0.25">
      <c r="B73" s="38" t="s">
        <v>106</v>
      </c>
      <c r="C73" s="143">
        <f t="shared" si="1"/>
        <v>4.6262851496329409</v>
      </c>
      <c r="D73" s="64">
        <v>2448</v>
      </c>
      <c r="E73" s="64">
        <v>28</v>
      </c>
      <c r="F73" s="3">
        <v>600</v>
      </c>
    </row>
    <row r="74" spans="2:6" ht="12.75" hidden="1" customHeight="1" x14ac:dyDescent="0.25">
      <c r="B74" s="145" t="s">
        <v>246</v>
      </c>
      <c r="C74" s="143">
        <f t="shared" si="1"/>
        <v>1.9456704071690389</v>
      </c>
      <c r="D74" s="19">
        <v>674</v>
      </c>
      <c r="E74" s="19">
        <v>12</v>
      </c>
      <c r="F74" s="3">
        <v>600</v>
      </c>
    </row>
    <row r="75" spans="2:6" ht="12.75" hidden="1" customHeight="1" x14ac:dyDescent="0.25">
      <c r="B75" s="145" t="s">
        <v>243</v>
      </c>
      <c r="C75" s="143">
        <f t="shared" si="1"/>
        <v>2.4854929088613389</v>
      </c>
      <c r="D75" s="19">
        <v>861</v>
      </c>
      <c r="E75" s="19">
        <v>12</v>
      </c>
      <c r="F75" s="3">
        <v>600</v>
      </c>
    </row>
    <row r="76" spans="2:6" ht="12.75" hidden="1" customHeight="1" x14ac:dyDescent="0.25">
      <c r="B76" s="145" t="s">
        <v>240</v>
      </c>
      <c r="C76" s="143">
        <f t="shared" si="1"/>
        <v>2.9444863728670914</v>
      </c>
      <c r="D76" s="19">
        <v>1020</v>
      </c>
      <c r="E76" s="19">
        <v>12</v>
      </c>
      <c r="F76" s="3">
        <v>600</v>
      </c>
    </row>
    <row r="77" spans="2:6" ht="12.75" hidden="1" customHeight="1" x14ac:dyDescent="0.25">
      <c r="B77" s="145" t="s">
        <v>236</v>
      </c>
      <c r="C77" s="143">
        <f t="shared" si="1"/>
        <v>3.279349528997074</v>
      </c>
      <c r="D77" s="19">
        <v>1136</v>
      </c>
      <c r="E77" s="19">
        <v>12</v>
      </c>
      <c r="F77" s="3">
        <v>600</v>
      </c>
    </row>
    <row r="78" spans="2:6" ht="12.75" hidden="1" customHeight="1" x14ac:dyDescent="0.25">
      <c r="B78" s="145" t="s">
        <v>232</v>
      </c>
      <c r="C78" s="143">
        <f t="shared" si="1"/>
        <v>3.4352341016782733</v>
      </c>
      <c r="D78" s="19">
        <v>1190</v>
      </c>
      <c r="E78" s="19">
        <v>12</v>
      </c>
      <c r="F78" s="3">
        <v>600</v>
      </c>
    </row>
    <row r="79" spans="2:6" ht="12.75" hidden="1" customHeight="1" x14ac:dyDescent="0.25">
      <c r="B79" s="145" t="s">
        <v>228</v>
      </c>
      <c r="C79" s="143">
        <f t="shared" si="1"/>
        <v>3.527893247992457</v>
      </c>
      <c r="D79" s="19">
        <v>1272</v>
      </c>
      <c r="E79" s="19">
        <v>13</v>
      </c>
      <c r="F79" s="3">
        <v>600</v>
      </c>
    </row>
    <row r="80" spans="2:6" ht="12.75" hidden="1" customHeight="1" x14ac:dyDescent="0.25">
      <c r="B80" s="145" t="s">
        <v>224</v>
      </c>
      <c r="C80" s="143">
        <f t="shared" si="1"/>
        <v>3.74145282353917</v>
      </c>
      <c r="D80" s="19">
        <v>1349</v>
      </c>
      <c r="E80" s="19">
        <v>13</v>
      </c>
      <c r="F80" s="3">
        <v>600</v>
      </c>
    </row>
    <row r="81" spans="1:14" ht="12.75" hidden="1" customHeight="1" x14ac:dyDescent="0.25">
      <c r="B81" s="145" t="s">
        <v>220</v>
      </c>
      <c r="C81" s="143">
        <f t="shared" si="1"/>
        <v>4.1186489569723266</v>
      </c>
      <c r="D81" s="19">
        <v>1485</v>
      </c>
      <c r="E81" s="19">
        <v>13</v>
      </c>
      <c r="F81" s="3">
        <v>600</v>
      </c>
    </row>
    <row r="82" spans="1:14" ht="12.75" hidden="1" customHeight="1" x14ac:dyDescent="0.25">
      <c r="B82" s="145" t="s">
        <v>216</v>
      </c>
      <c r="C82" s="143">
        <f t="shared" si="1"/>
        <v>4.1879836607676895</v>
      </c>
      <c r="D82" s="19">
        <v>1567</v>
      </c>
      <c r="E82" s="19">
        <v>14</v>
      </c>
      <c r="F82" s="3">
        <v>600</v>
      </c>
    </row>
    <row r="83" spans="1:14" ht="12.75" hidden="1" customHeight="1" x14ac:dyDescent="0.25">
      <c r="B83" s="145" t="s">
        <v>212</v>
      </c>
      <c r="C83" s="143">
        <f t="shared" si="1"/>
        <v>4.3590308555916417</v>
      </c>
      <c r="D83" s="19">
        <v>1631</v>
      </c>
      <c r="E83" s="19">
        <v>14</v>
      </c>
      <c r="F83" s="3">
        <v>600</v>
      </c>
    </row>
    <row r="84" spans="1:14" ht="12.75" hidden="1" customHeight="1" x14ac:dyDescent="0.25">
      <c r="B84" s="145" t="s">
        <v>208</v>
      </c>
      <c r="C84" s="143">
        <f t="shared" si="1"/>
        <v>4.8507915407105022</v>
      </c>
      <c r="D84" s="19">
        <v>1815</v>
      </c>
      <c r="E84" s="19">
        <v>14</v>
      </c>
      <c r="F84" s="3">
        <v>600</v>
      </c>
    </row>
    <row r="85" spans="1:14" ht="12.75" hidden="1" customHeight="1" x14ac:dyDescent="0.25">
      <c r="A85" s="2"/>
      <c r="B85" s="145" t="s">
        <v>204</v>
      </c>
      <c r="C85" s="143">
        <f t="shared" si="1"/>
        <v>5.166559783840694</v>
      </c>
      <c r="D85" s="19">
        <v>2001</v>
      </c>
      <c r="E85" s="19">
        <v>15</v>
      </c>
      <c r="F85" s="3">
        <v>600</v>
      </c>
      <c r="G85" s="2"/>
      <c r="H85" s="2"/>
      <c r="M85" s="2"/>
      <c r="N85" s="2"/>
    </row>
    <row r="86" spans="1:14" ht="12.75" hidden="1" customHeight="1" x14ac:dyDescent="0.25">
      <c r="A86" s="2"/>
      <c r="B86" s="145" t="s">
        <v>200</v>
      </c>
      <c r="C86" s="143">
        <f t="shared" si="1"/>
        <v>5.1099999999999994</v>
      </c>
      <c r="D86" s="19">
        <v>2044</v>
      </c>
      <c r="E86" s="19">
        <v>16</v>
      </c>
      <c r="F86" s="3">
        <v>600</v>
      </c>
      <c r="G86" s="2"/>
      <c r="H86" s="2"/>
      <c r="M86" s="2"/>
      <c r="N86" s="2"/>
    </row>
    <row r="87" spans="1:14" ht="12.75" hidden="1" customHeight="1" x14ac:dyDescent="0.25">
      <c r="A87" s="2"/>
      <c r="B87" s="145" t="s">
        <v>196</v>
      </c>
      <c r="C87" s="143">
        <f t="shared" si="1"/>
        <v>5.4274999999999993</v>
      </c>
      <c r="D87" s="19">
        <v>2171</v>
      </c>
      <c r="E87" s="19">
        <v>16</v>
      </c>
      <c r="F87" s="3">
        <v>600</v>
      </c>
      <c r="G87" s="2"/>
      <c r="H87" s="2"/>
      <c r="M87" s="2"/>
      <c r="N87" s="2"/>
    </row>
    <row r="88" spans="1:14" ht="12.75" hidden="1" customHeight="1" x14ac:dyDescent="0.25">
      <c r="A88" s="2"/>
      <c r="B88" s="145" t="s">
        <v>192</v>
      </c>
      <c r="C88" s="143">
        <f t="shared" si="1"/>
        <v>5.5079840445751218</v>
      </c>
      <c r="D88" s="19">
        <v>2271</v>
      </c>
      <c r="E88" s="19">
        <v>17</v>
      </c>
      <c r="F88" s="3">
        <v>600</v>
      </c>
      <c r="G88" s="2"/>
      <c r="H88" s="2"/>
      <c r="M88" s="2"/>
      <c r="N88" s="2"/>
    </row>
    <row r="89" spans="1:14" ht="12.75" hidden="1" customHeight="1" x14ac:dyDescent="0.25">
      <c r="A89" s="2"/>
      <c r="B89" s="145" t="s">
        <v>188</v>
      </c>
      <c r="C89" s="143">
        <f t="shared" si="1"/>
        <v>5.7723478758647246</v>
      </c>
      <c r="D89" s="19">
        <v>2380</v>
      </c>
      <c r="E89" s="19">
        <v>17</v>
      </c>
      <c r="F89" s="3">
        <v>600</v>
      </c>
      <c r="G89" s="2"/>
      <c r="H89" s="2"/>
      <c r="M89" s="2"/>
      <c r="N89" s="2"/>
    </row>
    <row r="90" spans="1:14" ht="12.75" hidden="1" customHeight="1" x14ac:dyDescent="0.25">
      <c r="A90" s="2"/>
      <c r="B90" s="145" t="s">
        <v>184</v>
      </c>
      <c r="C90" s="143">
        <f t="shared" si="1"/>
        <v>5.8878424646799861</v>
      </c>
      <c r="D90" s="19">
        <v>2498</v>
      </c>
      <c r="E90" s="19">
        <v>18</v>
      </c>
      <c r="F90" s="3">
        <v>600</v>
      </c>
      <c r="G90" s="2"/>
      <c r="H90" s="2"/>
      <c r="M90" s="2"/>
      <c r="N90" s="2"/>
    </row>
    <row r="91" spans="1:14" ht="12.75" hidden="1" customHeight="1" x14ac:dyDescent="0.25">
      <c r="A91" s="2"/>
      <c r="B91" s="145" t="s">
        <v>180</v>
      </c>
      <c r="C91" s="143">
        <f t="shared" si="1"/>
        <v>6.2201826518376624</v>
      </c>
      <c r="D91" s="19">
        <v>2639</v>
      </c>
      <c r="E91" s="19">
        <v>18</v>
      </c>
      <c r="F91" s="3">
        <v>600</v>
      </c>
      <c r="G91" s="2"/>
      <c r="H91" s="2"/>
      <c r="M91" s="2"/>
      <c r="N91" s="2"/>
    </row>
    <row r="92" spans="1:14" ht="12.75" hidden="1" customHeight="1" x14ac:dyDescent="0.3">
      <c r="A92" s="58"/>
      <c r="B92" s="145" t="s">
        <v>176</v>
      </c>
      <c r="C92" s="143">
        <f t="shared" si="1"/>
        <v>6.5865257194238289</v>
      </c>
      <c r="D92" s="19">
        <v>2871</v>
      </c>
      <c r="E92" s="19">
        <v>19</v>
      </c>
      <c r="F92" s="3">
        <v>600</v>
      </c>
      <c r="G92" s="58"/>
      <c r="H92" s="58"/>
      <c r="M92" s="2"/>
      <c r="N92" s="2"/>
    </row>
    <row r="93" spans="1:14" ht="12.75" hidden="1" customHeight="1" x14ac:dyDescent="0.3">
      <c r="A93" s="58"/>
      <c r="B93" s="145" t="s">
        <v>172</v>
      </c>
      <c r="C93" s="143">
        <f t="shared" si="1"/>
        <v>6.963332877430517</v>
      </c>
      <c r="D93" s="19">
        <v>3191</v>
      </c>
      <c r="E93" s="19">
        <v>21</v>
      </c>
      <c r="F93" s="3">
        <v>600</v>
      </c>
      <c r="G93" s="58"/>
      <c r="H93" s="58"/>
      <c r="M93" s="2"/>
      <c r="N93" s="2"/>
    </row>
    <row r="94" spans="1:14" ht="12.75" hidden="1" customHeight="1" x14ac:dyDescent="0.3">
      <c r="A94" s="58"/>
      <c r="B94" s="145" t="s">
        <v>168</v>
      </c>
      <c r="C94" s="143">
        <f t="shared" si="1"/>
        <v>7.2637484062356474</v>
      </c>
      <c r="D94" s="19">
        <v>3407</v>
      </c>
      <c r="E94" s="19">
        <v>22</v>
      </c>
      <c r="F94" s="3">
        <v>600</v>
      </c>
      <c r="G94" s="58"/>
      <c r="H94" s="58"/>
      <c r="M94" s="2"/>
      <c r="N94" s="2"/>
    </row>
    <row r="95" spans="1:14" ht="12.75" hidden="1" customHeight="1" x14ac:dyDescent="0.3">
      <c r="A95" s="2"/>
      <c r="B95" s="145" t="s">
        <v>164</v>
      </c>
      <c r="C95" s="143">
        <f t="shared" si="1"/>
        <v>7.4321769721565802</v>
      </c>
      <c r="D95" s="19">
        <v>3486</v>
      </c>
      <c r="E95" s="19">
        <v>22</v>
      </c>
      <c r="F95" s="3">
        <v>600</v>
      </c>
      <c r="G95" s="58"/>
      <c r="H95" s="58"/>
      <c r="M95" s="2"/>
      <c r="N95" s="2"/>
    </row>
    <row r="96" spans="1:14" ht="12.75" hidden="1" customHeight="1" x14ac:dyDescent="0.25">
      <c r="A96" s="2"/>
      <c r="B96" s="145" t="s">
        <v>160</v>
      </c>
      <c r="C96" s="143">
        <f t="shared" si="1"/>
        <v>8.1258710302342365</v>
      </c>
      <c r="D96" s="19">
        <v>3634</v>
      </c>
      <c r="E96" s="19">
        <v>20</v>
      </c>
      <c r="F96" s="3">
        <v>600</v>
      </c>
      <c r="G96" s="2"/>
      <c r="H96" s="2"/>
      <c r="M96" s="2"/>
      <c r="N96" s="2"/>
    </row>
    <row r="97" spans="1:14" ht="12.75" hidden="1" customHeight="1" x14ac:dyDescent="0.25">
      <c r="A97" s="2"/>
      <c r="B97" s="145" t="s">
        <v>156</v>
      </c>
      <c r="C97" s="143">
        <f t="shared" si="1"/>
        <v>8.0326005395868805</v>
      </c>
      <c r="D97" s="19">
        <v>3681</v>
      </c>
      <c r="E97" s="19">
        <v>21</v>
      </c>
      <c r="F97" s="3">
        <v>600</v>
      </c>
      <c r="G97" s="2"/>
      <c r="H97" s="2"/>
      <c r="M97" s="2"/>
      <c r="N97" s="2"/>
    </row>
    <row r="98" spans="1:14" ht="12.75" hidden="1" customHeight="1" x14ac:dyDescent="0.25">
      <c r="A98" s="2"/>
      <c r="B98" s="145" t="s">
        <v>152</v>
      </c>
      <c r="C98" s="143">
        <f t="shared" si="1"/>
        <v>8.9207473528473695</v>
      </c>
      <c r="D98" s="19">
        <v>4088</v>
      </c>
      <c r="E98" s="19">
        <v>21</v>
      </c>
      <c r="F98" s="3">
        <v>600</v>
      </c>
      <c r="G98" s="2"/>
      <c r="H98" s="2"/>
      <c r="M98" s="2"/>
      <c r="N98" s="2"/>
    </row>
    <row r="99" spans="1:14" ht="12.75" hidden="1" customHeight="1" x14ac:dyDescent="0.25">
      <c r="A99" s="2"/>
      <c r="B99" s="145" t="s">
        <v>148</v>
      </c>
      <c r="C99" s="143">
        <f t="shared" si="1"/>
        <v>9.4161019636830723</v>
      </c>
      <c r="D99" s="19">
        <v>4315</v>
      </c>
      <c r="E99" s="19">
        <v>21</v>
      </c>
      <c r="F99" s="3">
        <v>600</v>
      </c>
      <c r="G99" s="2"/>
      <c r="H99" s="2"/>
      <c r="M99" s="2"/>
      <c r="N99" s="2"/>
    </row>
    <row r="100" spans="1:14" ht="12.75" hidden="1" customHeight="1" x14ac:dyDescent="0.3">
      <c r="A100" s="2"/>
      <c r="B100" s="145" t="s">
        <v>144</v>
      </c>
      <c r="C100" s="143">
        <f t="shared" si="1"/>
        <v>9.6835765368718256</v>
      </c>
      <c r="D100" s="19">
        <v>4542</v>
      </c>
      <c r="E100" s="19">
        <v>22</v>
      </c>
      <c r="F100" s="3">
        <v>600</v>
      </c>
      <c r="G100" s="2"/>
      <c r="H100" s="2"/>
      <c r="M100" s="57"/>
      <c r="N100" s="2"/>
    </row>
    <row r="101" spans="1:14" ht="12.75" hidden="1" customHeight="1" x14ac:dyDescent="0.25">
      <c r="A101" s="2"/>
      <c r="B101" s="145" t="s">
        <v>140</v>
      </c>
      <c r="C101" s="143">
        <f t="shared" si="1"/>
        <v>10.167542162999062</v>
      </c>
      <c r="D101" s="19">
        <v>4769</v>
      </c>
      <c r="E101" s="19">
        <v>22</v>
      </c>
      <c r="F101" s="3">
        <v>600</v>
      </c>
      <c r="G101" s="2"/>
      <c r="H101" s="2"/>
      <c r="M101" s="2"/>
      <c r="N101" s="2"/>
    </row>
    <row r="102" spans="1:14" ht="12.75" hidden="1" customHeight="1" x14ac:dyDescent="0.25">
      <c r="A102" s="2"/>
      <c r="B102" s="145" t="s">
        <v>136</v>
      </c>
      <c r="C102" s="143">
        <f t="shared" si="1"/>
        <v>10.417380126291455</v>
      </c>
      <c r="D102" s="19">
        <v>4996</v>
      </c>
      <c r="E102" s="19">
        <v>23</v>
      </c>
      <c r="F102" s="3">
        <v>600</v>
      </c>
      <c r="G102" s="2"/>
      <c r="H102" s="2"/>
      <c r="M102" s="2"/>
      <c r="N102" s="2"/>
    </row>
    <row r="103" spans="1:14" ht="12.75" hidden="1" customHeight="1" x14ac:dyDescent="0.25">
      <c r="A103" s="2"/>
      <c r="B103" s="145" t="s">
        <v>132</v>
      </c>
      <c r="C103" s="143">
        <f t="shared" si="1"/>
        <v>11.124765915140268</v>
      </c>
      <c r="D103" s="19">
        <v>5450</v>
      </c>
      <c r="E103" s="19">
        <v>24</v>
      </c>
      <c r="F103" s="3">
        <v>600</v>
      </c>
      <c r="G103" s="2"/>
      <c r="H103" s="2"/>
      <c r="M103" s="2"/>
      <c r="N103" s="2"/>
    </row>
    <row r="104" spans="1:14" ht="12.75" hidden="1" customHeight="1" x14ac:dyDescent="0.25">
      <c r="A104" s="2"/>
      <c r="B104" s="145" t="s">
        <v>128</v>
      </c>
      <c r="C104" s="143">
        <f t="shared" ref="C104:C135" si="2">D104/1000/(E104/100)^0.5</f>
        <v>11.81</v>
      </c>
      <c r="D104" s="19">
        <v>5905</v>
      </c>
      <c r="E104" s="19">
        <v>25</v>
      </c>
      <c r="F104" s="3">
        <v>600</v>
      </c>
      <c r="G104" s="2"/>
      <c r="H104" s="2"/>
      <c r="M104" s="2"/>
      <c r="N104" s="2"/>
    </row>
    <row r="105" spans="1:14" ht="12.75" hidden="1" customHeight="1" x14ac:dyDescent="0.25">
      <c r="A105" s="2"/>
      <c r="B105" s="145" t="s">
        <v>124</v>
      </c>
      <c r="C105" s="143">
        <f t="shared" si="2"/>
        <v>12.824034076685852</v>
      </c>
      <c r="D105" s="19">
        <v>6539</v>
      </c>
      <c r="E105" s="19">
        <v>26</v>
      </c>
      <c r="F105" s="3">
        <v>600</v>
      </c>
      <c r="G105" s="2"/>
      <c r="H105" s="2"/>
      <c r="M105" s="2"/>
      <c r="N105" s="2"/>
    </row>
    <row r="106" spans="1:14" ht="12.75" hidden="1" customHeight="1" x14ac:dyDescent="0.25">
      <c r="A106" s="2"/>
      <c r="B106" s="145" t="s">
        <v>120</v>
      </c>
      <c r="C106" s="143">
        <f t="shared" si="2"/>
        <v>13.146265629447777</v>
      </c>
      <c r="D106" s="19">
        <v>6831</v>
      </c>
      <c r="E106" s="19">
        <v>27</v>
      </c>
      <c r="F106" s="3">
        <v>600</v>
      </c>
      <c r="G106" s="2"/>
      <c r="H106" s="2"/>
      <c r="M106" s="2"/>
      <c r="N106" s="2"/>
    </row>
    <row r="107" spans="1:14" ht="12.75" hidden="1" customHeight="1" x14ac:dyDescent="0.25">
      <c r="A107" s="2"/>
      <c r="B107" s="145" t="s">
        <v>116</v>
      </c>
      <c r="C107" s="143">
        <f t="shared" si="2"/>
        <v>13.733339126790272</v>
      </c>
      <c r="D107" s="19">
        <v>7267</v>
      </c>
      <c r="E107" s="19">
        <v>28</v>
      </c>
      <c r="F107" s="3">
        <v>600</v>
      </c>
      <c r="G107" s="2"/>
      <c r="H107" s="2"/>
      <c r="M107" s="2"/>
      <c r="N107" s="2"/>
    </row>
    <row r="108" spans="1:14" ht="12.75" hidden="1" customHeight="1" x14ac:dyDescent="0.25">
      <c r="A108" s="2"/>
      <c r="B108" s="145" t="s">
        <v>112</v>
      </c>
      <c r="C108" s="143">
        <f t="shared" si="2"/>
        <v>14.096552888324627</v>
      </c>
      <c r="D108" s="19">
        <v>7721</v>
      </c>
      <c r="E108" s="19">
        <v>30</v>
      </c>
      <c r="F108" s="3">
        <v>600</v>
      </c>
      <c r="G108" s="2"/>
      <c r="H108" s="2"/>
      <c r="M108" s="2"/>
      <c r="N108" s="2"/>
    </row>
    <row r="109" spans="1:14" ht="12.75" hidden="1" customHeight="1" x14ac:dyDescent="0.25">
      <c r="A109" s="2"/>
      <c r="B109" s="145" t="s">
        <v>108</v>
      </c>
      <c r="C109" s="143">
        <f t="shared" si="2"/>
        <v>14.684529493709116</v>
      </c>
      <c r="D109" s="19">
        <v>8176</v>
      </c>
      <c r="E109" s="19">
        <v>31</v>
      </c>
      <c r="F109" s="3">
        <v>600</v>
      </c>
      <c r="G109" s="2"/>
      <c r="H109" s="2"/>
      <c r="M109" s="2"/>
      <c r="N109" s="2"/>
    </row>
    <row r="110" spans="1:14" ht="12.75" hidden="1" customHeight="1" x14ac:dyDescent="0.25">
      <c r="A110" s="2"/>
      <c r="B110" s="145" t="s">
        <v>104</v>
      </c>
      <c r="C110" s="143">
        <f t="shared" si="2"/>
        <v>15.022901708976725</v>
      </c>
      <c r="D110" s="19">
        <v>8630</v>
      </c>
      <c r="E110" s="19">
        <v>33</v>
      </c>
      <c r="F110" s="3">
        <v>600</v>
      </c>
      <c r="G110" s="2"/>
      <c r="H110" s="2"/>
      <c r="M110" s="2"/>
      <c r="N110" s="2"/>
    </row>
    <row r="111" spans="1:14" ht="12.75" hidden="1" customHeight="1" x14ac:dyDescent="0.25">
      <c r="A111" s="2"/>
      <c r="B111" s="145" t="s">
        <v>102</v>
      </c>
      <c r="C111" s="143">
        <f t="shared" si="2"/>
        <v>15.578931474345501</v>
      </c>
      <c r="D111" s="19">
        <v>9084</v>
      </c>
      <c r="E111" s="19">
        <v>34</v>
      </c>
      <c r="F111" s="3">
        <v>600</v>
      </c>
      <c r="G111" s="2"/>
      <c r="H111" s="2"/>
      <c r="M111" s="2"/>
      <c r="N111" s="2"/>
    </row>
    <row r="112" spans="1:14" ht="12.75" hidden="1" customHeight="1" x14ac:dyDescent="0.25">
      <c r="A112" s="2"/>
      <c r="B112" s="145" t="s">
        <v>100</v>
      </c>
      <c r="C112" s="143">
        <f t="shared" si="2"/>
        <v>15.896666666666668</v>
      </c>
      <c r="D112" s="19">
        <v>9538</v>
      </c>
      <c r="E112" s="19">
        <v>36</v>
      </c>
      <c r="F112" s="3">
        <v>600</v>
      </c>
      <c r="G112" s="2"/>
      <c r="H112" s="2"/>
      <c r="M112" s="2"/>
      <c r="N112" s="2"/>
    </row>
    <row r="113" spans="1:14" ht="12.75" hidden="1" customHeight="1" x14ac:dyDescent="0.25">
      <c r="A113" s="2"/>
      <c r="B113" s="145" t="s">
        <v>98</v>
      </c>
      <c r="C113" s="143">
        <f t="shared" si="2"/>
        <v>16.205919970963176</v>
      </c>
      <c r="D113" s="19">
        <v>9990</v>
      </c>
      <c r="E113" s="19">
        <v>38</v>
      </c>
      <c r="F113" s="3">
        <v>600</v>
      </c>
      <c r="G113" s="2"/>
      <c r="H113" s="2"/>
      <c r="M113" s="2"/>
      <c r="N113" s="2"/>
    </row>
    <row r="114" spans="1:14" ht="12.75" hidden="1" customHeight="1" x14ac:dyDescent="0.25">
      <c r="A114" s="2"/>
      <c r="B114" s="145" t="s">
        <v>96</v>
      </c>
      <c r="C114" s="143">
        <f t="shared" si="2"/>
        <v>16.514995080229362</v>
      </c>
      <c r="D114" s="19">
        <v>10445</v>
      </c>
      <c r="E114" s="19">
        <v>40</v>
      </c>
      <c r="F114" s="3">
        <v>600</v>
      </c>
      <c r="G114" s="2"/>
      <c r="H114" s="2"/>
      <c r="M114" s="2"/>
      <c r="N114" s="2"/>
    </row>
    <row r="115" spans="1:14" ht="12.75" hidden="1" customHeight="1" x14ac:dyDescent="0.25">
      <c r="B115" s="145" t="s">
        <v>94</v>
      </c>
      <c r="C115" s="143">
        <f t="shared" si="2"/>
        <v>16.81906514586802</v>
      </c>
      <c r="D115" s="19">
        <v>10900</v>
      </c>
      <c r="E115" s="19">
        <v>42</v>
      </c>
      <c r="F115" s="3">
        <v>600</v>
      </c>
    </row>
    <row r="116" spans="1:14" hidden="1" x14ac:dyDescent="0.25">
      <c r="B116" s="145" t="s">
        <v>92</v>
      </c>
      <c r="C116" s="143">
        <f t="shared" si="2"/>
        <v>17.118306588402532</v>
      </c>
      <c r="D116" s="19">
        <v>11355</v>
      </c>
      <c r="E116" s="19">
        <v>44</v>
      </c>
      <c r="F116" s="3">
        <v>600</v>
      </c>
    </row>
    <row r="117" spans="1:14" hidden="1" x14ac:dyDescent="0.25">
      <c r="B117" s="38" t="s">
        <v>248</v>
      </c>
      <c r="C117" s="143">
        <f t="shared" si="2"/>
        <v>9.4491118252306799E-2</v>
      </c>
      <c r="D117" s="67">
        <v>25</v>
      </c>
      <c r="E117" s="67">
        <v>7</v>
      </c>
      <c r="F117" s="3">
        <v>350</v>
      </c>
    </row>
    <row r="118" spans="1:14" hidden="1" x14ac:dyDescent="0.25">
      <c r="B118" s="38" t="s">
        <v>245</v>
      </c>
      <c r="C118" s="143">
        <f t="shared" si="2"/>
        <v>0.13606721028332178</v>
      </c>
      <c r="D118" s="67">
        <v>36</v>
      </c>
      <c r="E118" s="67">
        <v>7</v>
      </c>
      <c r="F118" s="3">
        <v>350</v>
      </c>
    </row>
    <row r="119" spans="1:14" hidden="1" x14ac:dyDescent="0.25">
      <c r="B119" s="38" t="s">
        <v>242</v>
      </c>
      <c r="C119" s="143">
        <f t="shared" si="2"/>
        <v>0.16252472339396767</v>
      </c>
      <c r="D119" s="67">
        <v>43</v>
      </c>
      <c r="E119" s="67">
        <v>7</v>
      </c>
      <c r="F119" s="3">
        <v>350</v>
      </c>
    </row>
    <row r="120" spans="1:14" hidden="1" x14ac:dyDescent="0.25">
      <c r="B120" s="38" t="s">
        <v>239</v>
      </c>
      <c r="C120" s="143">
        <f t="shared" si="2"/>
        <v>0.20788046015507497</v>
      </c>
      <c r="D120" s="67">
        <v>55</v>
      </c>
      <c r="E120" s="67">
        <v>7</v>
      </c>
      <c r="F120" s="3">
        <v>350</v>
      </c>
    </row>
    <row r="121" spans="1:14" hidden="1" x14ac:dyDescent="0.25">
      <c r="B121" s="38" t="s">
        <v>235</v>
      </c>
      <c r="C121" s="143">
        <f t="shared" si="2"/>
        <v>0.2651650429449553</v>
      </c>
      <c r="D121" s="67">
        <v>75</v>
      </c>
      <c r="E121" s="67">
        <v>8</v>
      </c>
      <c r="F121" s="3">
        <v>350</v>
      </c>
    </row>
    <row r="122" spans="1:14" hidden="1" x14ac:dyDescent="0.25">
      <c r="B122" s="38" t="s">
        <v>231</v>
      </c>
      <c r="C122" s="143">
        <f t="shared" si="2"/>
        <v>0.28000000000000003</v>
      </c>
      <c r="D122" s="67">
        <v>84</v>
      </c>
      <c r="E122" s="67">
        <v>9</v>
      </c>
      <c r="F122" s="3">
        <v>350</v>
      </c>
    </row>
    <row r="123" spans="1:14" hidden="1" x14ac:dyDescent="0.25">
      <c r="B123" s="38" t="s">
        <v>227</v>
      </c>
      <c r="C123" s="143">
        <f t="shared" si="2"/>
        <v>0.32887687665751142</v>
      </c>
      <c r="D123" s="67">
        <v>104</v>
      </c>
      <c r="E123" s="67">
        <v>10</v>
      </c>
      <c r="F123" s="3">
        <v>350</v>
      </c>
    </row>
    <row r="124" spans="1:14" hidden="1" x14ac:dyDescent="0.25">
      <c r="B124" s="38" t="s">
        <v>223</v>
      </c>
      <c r="C124" s="143">
        <f t="shared" si="2"/>
        <v>0.36049965325919525</v>
      </c>
      <c r="D124" s="67">
        <v>114</v>
      </c>
      <c r="E124" s="67">
        <v>10</v>
      </c>
      <c r="F124" s="3">
        <v>350</v>
      </c>
    </row>
    <row r="125" spans="1:14" hidden="1" x14ac:dyDescent="0.25">
      <c r="B125" s="38" t="s">
        <v>219</v>
      </c>
      <c r="C125" s="143">
        <f t="shared" si="2"/>
        <v>0.38894963450531511</v>
      </c>
      <c r="D125" s="67">
        <v>129</v>
      </c>
      <c r="E125" s="67">
        <v>11</v>
      </c>
      <c r="F125" s="3">
        <v>350</v>
      </c>
    </row>
    <row r="126" spans="1:14" hidden="1" x14ac:dyDescent="0.25">
      <c r="B126" s="38" t="s">
        <v>215</v>
      </c>
      <c r="C126" s="143">
        <f t="shared" si="2"/>
        <v>0.46432747064975599</v>
      </c>
      <c r="D126" s="67">
        <v>154</v>
      </c>
      <c r="E126" s="67">
        <v>11</v>
      </c>
      <c r="F126" s="3">
        <v>350</v>
      </c>
    </row>
    <row r="127" spans="1:14" hidden="1" x14ac:dyDescent="0.25">
      <c r="B127" s="38" t="s">
        <v>211</v>
      </c>
      <c r="C127" s="143">
        <f t="shared" si="2"/>
        <v>0.50518148554092246</v>
      </c>
      <c r="D127" s="64">
        <v>175</v>
      </c>
      <c r="E127" s="64">
        <v>12</v>
      </c>
      <c r="F127" s="3">
        <v>350</v>
      </c>
    </row>
    <row r="128" spans="1:14" hidden="1" x14ac:dyDescent="0.25">
      <c r="B128" s="38" t="s">
        <v>207</v>
      </c>
      <c r="C128" s="143">
        <f t="shared" si="2"/>
        <v>0.58889727457341823</v>
      </c>
      <c r="D128" s="66">
        <v>204</v>
      </c>
      <c r="E128" s="64">
        <v>12</v>
      </c>
      <c r="F128" s="3">
        <v>350</v>
      </c>
    </row>
    <row r="129" spans="2:6" hidden="1" x14ac:dyDescent="0.25">
      <c r="B129" s="38" t="s">
        <v>203</v>
      </c>
      <c r="C129" s="143">
        <f t="shared" si="2"/>
        <v>0.69570707437349899</v>
      </c>
      <c r="D129" s="64">
        <v>241</v>
      </c>
      <c r="E129" s="64">
        <v>12</v>
      </c>
      <c r="F129" s="3">
        <v>350</v>
      </c>
    </row>
    <row r="130" spans="2:6" hidden="1" x14ac:dyDescent="0.25">
      <c r="B130" s="38" t="s">
        <v>199</v>
      </c>
      <c r="C130" s="143">
        <f t="shared" si="2"/>
        <v>0.80540362551952804</v>
      </c>
      <c r="D130" s="64">
        <v>279</v>
      </c>
      <c r="E130" s="64">
        <v>12</v>
      </c>
      <c r="F130" s="3">
        <v>350</v>
      </c>
    </row>
    <row r="131" spans="2:6" hidden="1" x14ac:dyDescent="0.25">
      <c r="B131" s="38" t="s">
        <v>195</v>
      </c>
      <c r="C131" s="143">
        <f t="shared" si="2"/>
        <v>0.88752031396036657</v>
      </c>
      <c r="D131" s="64">
        <v>320</v>
      </c>
      <c r="E131" s="64">
        <v>13</v>
      </c>
      <c r="F131" s="3">
        <v>350</v>
      </c>
    </row>
    <row r="132" spans="2:6" hidden="1" x14ac:dyDescent="0.25">
      <c r="B132" s="38" t="s">
        <v>191</v>
      </c>
      <c r="C132" s="143">
        <f t="shared" si="2"/>
        <v>0.97072534339415084</v>
      </c>
      <c r="D132" s="64">
        <v>350</v>
      </c>
      <c r="E132" s="64">
        <v>13</v>
      </c>
      <c r="F132" s="3">
        <v>350</v>
      </c>
    </row>
    <row r="133" spans="2:6" hidden="1" x14ac:dyDescent="0.25">
      <c r="B133" s="38" t="s">
        <v>187</v>
      </c>
      <c r="C133" s="143">
        <f t="shared" si="2"/>
        <v>1.1094003924504583</v>
      </c>
      <c r="D133" s="64">
        <v>400</v>
      </c>
      <c r="E133" s="64">
        <v>13</v>
      </c>
      <c r="F133" s="3">
        <v>350</v>
      </c>
    </row>
    <row r="134" spans="2:6" hidden="1" x14ac:dyDescent="0.25">
      <c r="B134" s="38" t="s">
        <v>183</v>
      </c>
      <c r="C134" s="143">
        <f t="shared" si="2"/>
        <v>1.2748361239222641</v>
      </c>
      <c r="D134" s="64">
        <v>477</v>
      </c>
      <c r="E134" s="64">
        <v>14</v>
      </c>
      <c r="F134" s="3">
        <v>350</v>
      </c>
    </row>
    <row r="135" spans="2:6" hidden="1" x14ac:dyDescent="0.25">
      <c r="B135" s="38" t="s">
        <v>179</v>
      </c>
      <c r="C135" s="143">
        <f t="shared" si="2"/>
        <v>1.4565737684227129</v>
      </c>
      <c r="D135" s="64">
        <v>545</v>
      </c>
      <c r="E135" s="64">
        <v>14</v>
      </c>
      <c r="F135" s="3">
        <v>350</v>
      </c>
    </row>
    <row r="136" spans="2:6" hidden="1" x14ac:dyDescent="0.25">
      <c r="B136" s="38" t="s">
        <v>175</v>
      </c>
      <c r="C136" s="143">
        <f t="shared" ref="C136:C167" si="3">D136/1000/(E136/100)^0.5</f>
        <v>1.6436566377614099</v>
      </c>
      <c r="D136" s="64">
        <v>615</v>
      </c>
      <c r="E136" s="64">
        <v>14</v>
      </c>
      <c r="F136" s="3">
        <v>350</v>
      </c>
    </row>
    <row r="137" spans="2:6" hidden="1" x14ac:dyDescent="0.25">
      <c r="B137" s="38" t="s">
        <v>171</v>
      </c>
      <c r="C137" s="143">
        <f t="shared" si="3"/>
        <v>1.7906503208132434</v>
      </c>
      <c r="D137" s="64">
        <v>670</v>
      </c>
      <c r="E137" s="64">
        <v>14</v>
      </c>
      <c r="F137" s="3">
        <v>350</v>
      </c>
    </row>
    <row r="138" spans="2:6" hidden="1" x14ac:dyDescent="0.25">
      <c r="B138" s="38" t="s">
        <v>167</v>
      </c>
      <c r="C138" s="143">
        <f t="shared" si="3"/>
        <v>1.9670427404754434</v>
      </c>
      <c r="D138" s="64">
        <v>736</v>
      </c>
      <c r="E138" s="64">
        <v>14</v>
      </c>
      <c r="F138" s="3">
        <v>350</v>
      </c>
    </row>
    <row r="139" spans="2:6" hidden="1" x14ac:dyDescent="0.25">
      <c r="B139" s="38" t="s">
        <v>163</v>
      </c>
      <c r="C139" s="143">
        <f t="shared" si="3"/>
        <v>1.9975000000000001</v>
      </c>
      <c r="D139" s="64">
        <v>799</v>
      </c>
      <c r="E139" s="64">
        <v>16</v>
      </c>
      <c r="F139" s="3">
        <v>350</v>
      </c>
    </row>
    <row r="140" spans="2:6" hidden="1" x14ac:dyDescent="0.25">
      <c r="B140" s="38" t="s">
        <v>159</v>
      </c>
      <c r="C140" s="143">
        <f t="shared" si="3"/>
        <v>1.9959168846738875</v>
      </c>
      <c r="D140" s="64">
        <v>870</v>
      </c>
      <c r="E140" s="64">
        <v>19</v>
      </c>
      <c r="F140" s="3">
        <v>350</v>
      </c>
    </row>
    <row r="141" spans="2:6" hidden="1" x14ac:dyDescent="0.25">
      <c r="B141" s="38" t="s">
        <v>155</v>
      </c>
      <c r="C141" s="143">
        <f t="shared" si="3"/>
        <v>2.042519452608889</v>
      </c>
      <c r="D141" s="64">
        <v>936</v>
      </c>
      <c r="E141" s="64">
        <v>21</v>
      </c>
      <c r="F141" s="3">
        <v>350</v>
      </c>
    </row>
    <row r="142" spans="2:6" hidden="1" x14ac:dyDescent="0.25">
      <c r="B142" s="38" t="s">
        <v>151</v>
      </c>
      <c r="C142" s="143">
        <f t="shared" si="3"/>
        <v>2.1746473068272265</v>
      </c>
      <c r="D142" s="64">
        <v>1020</v>
      </c>
      <c r="E142" s="64">
        <v>22</v>
      </c>
      <c r="F142" s="3">
        <v>350</v>
      </c>
    </row>
    <row r="143" spans="2:6" hidden="1" x14ac:dyDescent="0.25">
      <c r="B143" s="38" t="s">
        <v>147</v>
      </c>
      <c r="C143" s="143">
        <f t="shared" si="3"/>
        <v>2.3046997438041488</v>
      </c>
      <c r="D143" s="64">
        <v>1081</v>
      </c>
      <c r="E143" s="64">
        <v>22</v>
      </c>
      <c r="F143" s="3">
        <v>350</v>
      </c>
    </row>
    <row r="144" spans="2:6" hidden="1" x14ac:dyDescent="0.25">
      <c r="B144" s="38" t="s">
        <v>143</v>
      </c>
      <c r="C144" s="143">
        <f t="shared" si="3"/>
        <v>2.5477485604495449</v>
      </c>
      <c r="D144" s="64">
        <v>1195</v>
      </c>
      <c r="E144" s="64">
        <v>22</v>
      </c>
      <c r="F144" s="3">
        <v>350</v>
      </c>
    </row>
    <row r="145" spans="2:6" hidden="1" x14ac:dyDescent="0.25">
      <c r="B145" s="38" t="s">
        <v>139</v>
      </c>
      <c r="C145" s="143">
        <f t="shared" si="3"/>
        <v>2.783667427661948</v>
      </c>
      <c r="D145" s="64">
        <v>1335</v>
      </c>
      <c r="E145" s="64">
        <v>23</v>
      </c>
      <c r="F145" s="3">
        <v>350</v>
      </c>
    </row>
    <row r="146" spans="2:6" hidden="1" x14ac:dyDescent="0.25">
      <c r="B146" s="38" t="s">
        <v>135</v>
      </c>
      <c r="C146" s="143">
        <f t="shared" si="3"/>
        <v>3.092268760466419</v>
      </c>
      <c r="D146" s="64">
        <v>1483</v>
      </c>
      <c r="E146" s="64">
        <v>23</v>
      </c>
      <c r="F146" s="3">
        <v>350</v>
      </c>
    </row>
    <row r="147" spans="2:6" hidden="1" x14ac:dyDescent="0.25">
      <c r="B147" s="38" t="s">
        <v>131</v>
      </c>
      <c r="C147" s="143">
        <f t="shared" si="3"/>
        <v>3.296612886242352</v>
      </c>
      <c r="D147" s="64">
        <v>1581</v>
      </c>
      <c r="E147" s="64">
        <v>23</v>
      </c>
      <c r="F147" s="3">
        <v>350</v>
      </c>
    </row>
    <row r="148" spans="2:6" hidden="1" x14ac:dyDescent="0.25">
      <c r="B148" s="38" t="s">
        <v>127</v>
      </c>
      <c r="C148" s="143">
        <f t="shared" si="3"/>
        <v>3.6211623364144652</v>
      </c>
      <c r="D148" s="64">
        <v>1774</v>
      </c>
      <c r="E148" s="64">
        <v>24</v>
      </c>
      <c r="F148" s="3">
        <v>350</v>
      </c>
    </row>
    <row r="149" spans="2:6" hidden="1" x14ac:dyDescent="0.25">
      <c r="B149" s="38" t="s">
        <v>123</v>
      </c>
      <c r="C149" s="143">
        <f t="shared" si="3"/>
        <v>3.8436576547172705</v>
      </c>
      <c r="D149" s="64">
        <v>1883</v>
      </c>
      <c r="E149" s="64">
        <v>24</v>
      </c>
      <c r="F149" s="3">
        <v>350</v>
      </c>
    </row>
    <row r="150" spans="2:6" hidden="1" x14ac:dyDescent="0.25">
      <c r="B150" s="38" t="s">
        <v>119</v>
      </c>
      <c r="C150" s="143">
        <f t="shared" si="3"/>
        <v>4.16</v>
      </c>
      <c r="D150" s="64">
        <v>2080</v>
      </c>
      <c r="E150" s="64">
        <v>25</v>
      </c>
      <c r="F150" s="3">
        <v>350</v>
      </c>
    </row>
    <row r="151" spans="2:6" hidden="1" x14ac:dyDescent="0.25">
      <c r="B151" s="38" t="s">
        <v>115</v>
      </c>
      <c r="C151" s="143">
        <f t="shared" si="3"/>
        <v>4.4145742019605221</v>
      </c>
      <c r="D151" s="64">
        <v>2251</v>
      </c>
      <c r="E151" s="64">
        <v>26</v>
      </c>
      <c r="F151" s="3">
        <v>350</v>
      </c>
    </row>
    <row r="152" spans="2:6" hidden="1" x14ac:dyDescent="0.25">
      <c r="B152" s="38" t="s">
        <v>111</v>
      </c>
      <c r="C152" s="143">
        <f t="shared" si="3"/>
        <v>4.4629175808358061</v>
      </c>
      <c r="D152" s="64">
        <v>2319</v>
      </c>
      <c r="E152" s="64">
        <v>27</v>
      </c>
      <c r="F152" s="3">
        <v>350</v>
      </c>
    </row>
    <row r="153" spans="2:6" hidden="1" x14ac:dyDescent="0.25">
      <c r="B153" s="38" t="s">
        <v>107</v>
      </c>
      <c r="C153" s="143">
        <f t="shared" si="3"/>
        <v>4.6262851496329409</v>
      </c>
      <c r="D153" s="64">
        <v>2448</v>
      </c>
      <c r="E153" s="64">
        <v>28</v>
      </c>
      <c r="F153" s="3">
        <v>350</v>
      </c>
    </row>
    <row r="154" spans="2:6" hidden="1" x14ac:dyDescent="0.25">
      <c r="B154" s="145" t="s">
        <v>247</v>
      </c>
      <c r="C154" s="143">
        <f t="shared" si="3"/>
        <v>1.9456704071690389</v>
      </c>
      <c r="D154" s="19">
        <v>674</v>
      </c>
      <c r="E154" s="19">
        <v>12</v>
      </c>
      <c r="F154" s="3">
        <v>350</v>
      </c>
    </row>
    <row r="155" spans="2:6" hidden="1" x14ac:dyDescent="0.25">
      <c r="B155" s="145" t="s">
        <v>244</v>
      </c>
      <c r="C155" s="143">
        <f t="shared" si="3"/>
        <v>2.4854929088613389</v>
      </c>
      <c r="D155" s="19">
        <v>861</v>
      </c>
      <c r="E155" s="19">
        <v>12</v>
      </c>
      <c r="F155" s="3">
        <v>350</v>
      </c>
    </row>
    <row r="156" spans="2:6" hidden="1" x14ac:dyDescent="0.25">
      <c r="B156" s="145" t="s">
        <v>241</v>
      </c>
      <c r="C156" s="143">
        <f t="shared" si="3"/>
        <v>2.9444863728670914</v>
      </c>
      <c r="D156" s="19">
        <v>1020</v>
      </c>
      <c r="E156" s="19">
        <v>12</v>
      </c>
      <c r="F156" s="3">
        <v>350</v>
      </c>
    </row>
    <row r="157" spans="2:6" hidden="1" x14ac:dyDescent="0.25">
      <c r="B157" s="145" t="s">
        <v>237</v>
      </c>
      <c r="C157" s="143">
        <f t="shared" si="3"/>
        <v>3.279349528997074</v>
      </c>
      <c r="D157" s="19">
        <v>1136</v>
      </c>
      <c r="E157" s="19">
        <v>12</v>
      </c>
      <c r="F157" s="3">
        <v>350</v>
      </c>
    </row>
    <row r="158" spans="2:6" hidden="1" x14ac:dyDescent="0.25">
      <c r="B158" s="145" t="s">
        <v>233</v>
      </c>
      <c r="C158" s="143">
        <f t="shared" si="3"/>
        <v>3.4352341016782733</v>
      </c>
      <c r="D158" s="19">
        <v>1190</v>
      </c>
      <c r="E158" s="19">
        <v>12</v>
      </c>
      <c r="F158" s="3">
        <v>350</v>
      </c>
    </row>
    <row r="159" spans="2:6" hidden="1" x14ac:dyDescent="0.25">
      <c r="B159" s="145" t="s">
        <v>229</v>
      </c>
      <c r="C159" s="143">
        <f t="shared" si="3"/>
        <v>3.527893247992457</v>
      </c>
      <c r="D159" s="19">
        <v>1272</v>
      </c>
      <c r="E159" s="19">
        <v>13</v>
      </c>
      <c r="F159" s="3">
        <v>350</v>
      </c>
    </row>
    <row r="160" spans="2:6" hidden="1" x14ac:dyDescent="0.25">
      <c r="B160" s="145" t="s">
        <v>225</v>
      </c>
      <c r="C160" s="143">
        <f t="shared" si="3"/>
        <v>3.74145282353917</v>
      </c>
      <c r="D160" s="19">
        <v>1349</v>
      </c>
      <c r="E160" s="19">
        <v>13</v>
      </c>
      <c r="F160" s="3">
        <v>350</v>
      </c>
    </row>
    <row r="161" spans="2:6" hidden="1" x14ac:dyDescent="0.25">
      <c r="B161" s="145" t="s">
        <v>221</v>
      </c>
      <c r="C161" s="143">
        <f t="shared" si="3"/>
        <v>4.1186489569723266</v>
      </c>
      <c r="D161" s="19">
        <v>1485</v>
      </c>
      <c r="E161" s="19">
        <v>13</v>
      </c>
      <c r="F161" s="3">
        <v>350</v>
      </c>
    </row>
    <row r="162" spans="2:6" hidden="1" x14ac:dyDescent="0.25">
      <c r="B162" s="145" t="s">
        <v>217</v>
      </c>
      <c r="C162" s="143">
        <f t="shared" si="3"/>
        <v>4.1879836607676895</v>
      </c>
      <c r="D162" s="19">
        <v>1567</v>
      </c>
      <c r="E162" s="19">
        <v>14</v>
      </c>
      <c r="F162" s="3">
        <v>350</v>
      </c>
    </row>
    <row r="163" spans="2:6" hidden="1" x14ac:dyDescent="0.25">
      <c r="B163" s="145" t="s">
        <v>213</v>
      </c>
      <c r="C163" s="143">
        <f t="shared" si="3"/>
        <v>4.3590308555916417</v>
      </c>
      <c r="D163" s="19">
        <v>1631</v>
      </c>
      <c r="E163" s="19">
        <v>14</v>
      </c>
      <c r="F163" s="3">
        <v>350</v>
      </c>
    </row>
    <row r="164" spans="2:6" hidden="1" x14ac:dyDescent="0.25">
      <c r="B164" s="145" t="s">
        <v>209</v>
      </c>
      <c r="C164" s="143">
        <f t="shared" si="3"/>
        <v>4.8507915407105022</v>
      </c>
      <c r="D164" s="19">
        <v>1815</v>
      </c>
      <c r="E164" s="19">
        <v>14</v>
      </c>
      <c r="F164" s="3">
        <v>350</v>
      </c>
    </row>
    <row r="165" spans="2:6" hidden="1" x14ac:dyDescent="0.25">
      <c r="B165" s="145" t="s">
        <v>205</v>
      </c>
      <c r="C165" s="143">
        <f t="shared" si="3"/>
        <v>5.166559783840694</v>
      </c>
      <c r="D165" s="19">
        <v>2001</v>
      </c>
      <c r="E165" s="19">
        <v>15</v>
      </c>
      <c r="F165" s="3">
        <v>350</v>
      </c>
    </row>
    <row r="166" spans="2:6" hidden="1" x14ac:dyDescent="0.25">
      <c r="B166" s="145" t="s">
        <v>201</v>
      </c>
      <c r="C166" s="143">
        <f t="shared" si="3"/>
        <v>5.1099999999999994</v>
      </c>
      <c r="D166" s="19">
        <v>2044</v>
      </c>
      <c r="E166" s="19">
        <v>16</v>
      </c>
      <c r="F166" s="3">
        <v>350</v>
      </c>
    </row>
    <row r="167" spans="2:6" hidden="1" x14ac:dyDescent="0.25">
      <c r="B167" s="145" t="s">
        <v>197</v>
      </c>
      <c r="C167" s="143">
        <f t="shared" si="3"/>
        <v>5.4274999999999993</v>
      </c>
      <c r="D167" s="19">
        <v>2171</v>
      </c>
      <c r="E167" s="19">
        <v>16</v>
      </c>
      <c r="F167" s="3">
        <v>350</v>
      </c>
    </row>
    <row r="168" spans="2:6" hidden="1" x14ac:dyDescent="0.25">
      <c r="B168" s="145" t="s">
        <v>193</v>
      </c>
      <c r="C168" s="143">
        <f t="shared" ref="C168:C196" si="4">D168/1000/(E168/100)^0.5</f>
        <v>5.5079840445751218</v>
      </c>
      <c r="D168" s="19">
        <v>2271</v>
      </c>
      <c r="E168" s="19">
        <v>17</v>
      </c>
      <c r="F168" s="3">
        <v>350</v>
      </c>
    </row>
    <row r="169" spans="2:6" hidden="1" x14ac:dyDescent="0.25">
      <c r="B169" s="145" t="s">
        <v>189</v>
      </c>
      <c r="C169" s="143">
        <f t="shared" si="4"/>
        <v>5.7723478758647246</v>
      </c>
      <c r="D169" s="19">
        <v>2380</v>
      </c>
      <c r="E169" s="19">
        <v>17</v>
      </c>
      <c r="F169" s="3">
        <v>350</v>
      </c>
    </row>
    <row r="170" spans="2:6" hidden="1" x14ac:dyDescent="0.25">
      <c r="B170" s="145" t="s">
        <v>185</v>
      </c>
      <c r="C170" s="143">
        <f t="shared" si="4"/>
        <v>5.8878424646799861</v>
      </c>
      <c r="D170" s="19">
        <v>2498</v>
      </c>
      <c r="E170" s="19">
        <v>18</v>
      </c>
      <c r="F170" s="3">
        <v>350</v>
      </c>
    </row>
    <row r="171" spans="2:6" hidden="1" x14ac:dyDescent="0.25">
      <c r="B171" s="145" t="s">
        <v>181</v>
      </c>
      <c r="C171" s="143">
        <f t="shared" si="4"/>
        <v>6.2201826518376624</v>
      </c>
      <c r="D171" s="19">
        <v>2639</v>
      </c>
      <c r="E171" s="19">
        <v>18</v>
      </c>
      <c r="F171" s="3">
        <v>350</v>
      </c>
    </row>
    <row r="172" spans="2:6" hidden="1" x14ac:dyDescent="0.25">
      <c r="B172" s="145" t="s">
        <v>177</v>
      </c>
      <c r="C172" s="143">
        <f t="shared" si="4"/>
        <v>6.5865257194238289</v>
      </c>
      <c r="D172" s="19">
        <v>2871</v>
      </c>
      <c r="E172" s="19">
        <v>19</v>
      </c>
      <c r="F172" s="3">
        <v>350</v>
      </c>
    </row>
    <row r="173" spans="2:6" hidden="1" x14ac:dyDescent="0.25">
      <c r="B173" s="145" t="s">
        <v>173</v>
      </c>
      <c r="C173" s="143">
        <f t="shared" si="4"/>
        <v>6.963332877430517</v>
      </c>
      <c r="D173" s="19">
        <v>3191</v>
      </c>
      <c r="E173" s="19">
        <v>21</v>
      </c>
      <c r="F173" s="3">
        <v>350</v>
      </c>
    </row>
    <row r="174" spans="2:6" hidden="1" x14ac:dyDescent="0.25">
      <c r="B174" s="145" t="s">
        <v>169</v>
      </c>
      <c r="C174" s="143">
        <f t="shared" si="4"/>
        <v>7.2637484062356474</v>
      </c>
      <c r="D174" s="19">
        <v>3407</v>
      </c>
      <c r="E174" s="19">
        <v>22</v>
      </c>
      <c r="F174" s="3">
        <v>350</v>
      </c>
    </row>
    <row r="175" spans="2:6" hidden="1" x14ac:dyDescent="0.25">
      <c r="B175" s="145" t="s">
        <v>165</v>
      </c>
      <c r="C175" s="143">
        <f t="shared" si="4"/>
        <v>7.4321769721565802</v>
      </c>
      <c r="D175" s="19">
        <v>3486</v>
      </c>
      <c r="E175" s="19">
        <v>22</v>
      </c>
      <c r="F175" s="3">
        <v>350</v>
      </c>
    </row>
    <row r="176" spans="2:6" hidden="1" x14ac:dyDescent="0.25">
      <c r="B176" s="145" t="s">
        <v>161</v>
      </c>
      <c r="C176" s="143">
        <f t="shared" si="4"/>
        <v>8.1258710302342365</v>
      </c>
      <c r="D176" s="19">
        <v>3634</v>
      </c>
      <c r="E176" s="19">
        <v>20</v>
      </c>
      <c r="F176" s="3">
        <v>350</v>
      </c>
    </row>
    <row r="177" spans="2:6" hidden="1" x14ac:dyDescent="0.25">
      <c r="B177" s="145" t="s">
        <v>157</v>
      </c>
      <c r="C177" s="143">
        <f t="shared" si="4"/>
        <v>8.0326005395868805</v>
      </c>
      <c r="D177" s="19">
        <v>3681</v>
      </c>
      <c r="E177" s="19">
        <v>21</v>
      </c>
      <c r="F177" s="3">
        <v>350</v>
      </c>
    </row>
    <row r="178" spans="2:6" hidden="1" x14ac:dyDescent="0.25">
      <c r="B178" s="145" t="s">
        <v>153</v>
      </c>
      <c r="C178" s="143">
        <f t="shared" si="4"/>
        <v>8.9207473528473695</v>
      </c>
      <c r="D178" s="19">
        <v>4088</v>
      </c>
      <c r="E178" s="19">
        <v>21</v>
      </c>
      <c r="F178" s="3">
        <v>350</v>
      </c>
    </row>
    <row r="179" spans="2:6" hidden="1" x14ac:dyDescent="0.25">
      <c r="B179" s="145" t="s">
        <v>149</v>
      </c>
      <c r="C179" s="143">
        <f t="shared" si="4"/>
        <v>9.4161019636830723</v>
      </c>
      <c r="D179" s="19">
        <v>4315</v>
      </c>
      <c r="E179" s="19">
        <v>21</v>
      </c>
      <c r="F179" s="3">
        <v>350</v>
      </c>
    </row>
    <row r="180" spans="2:6" hidden="1" x14ac:dyDescent="0.25">
      <c r="B180" s="145" t="s">
        <v>145</v>
      </c>
      <c r="C180" s="143">
        <f t="shared" si="4"/>
        <v>9.6835765368718256</v>
      </c>
      <c r="D180" s="19">
        <v>4542</v>
      </c>
      <c r="E180" s="19">
        <v>22</v>
      </c>
      <c r="F180" s="3">
        <v>350</v>
      </c>
    </row>
    <row r="181" spans="2:6" hidden="1" x14ac:dyDescent="0.25">
      <c r="B181" s="145" t="s">
        <v>141</v>
      </c>
      <c r="C181" s="143">
        <f t="shared" si="4"/>
        <v>10.167542162999062</v>
      </c>
      <c r="D181" s="19">
        <v>4769</v>
      </c>
      <c r="E181" s="19">
        <v>22</v>
      </c>
      <c r="F181" s="3">
        <v>350</v>
      </c>
    </row>
    <row r="182" spans="2:6" hidden="1" x14ac:dyDescent="0.25">
      <c r="B182" s="145" t="s">
        <v>137</v>
      </c>
      <c r="C182" s="143">
        <f t="shared" si="4"/>
        <v>10.417380126291455</v>
      </c>
      <c r="D182" s="19">
        <v>4996</v>
      </c>
      <c r="E182" s="19">
        <v>23</v>
      </c>
      <c r="F182" s="3">
        <v>350</v>
      </c>
    </row>
    <row r="183" spans="2:6" hidden="1" x14ac:dyDescent="0.25">
      <c r="B183" s="145" t="s">
        <v>133</v>
      </c>
      <c r="C183" s="143">
        <f t="shared" si="4"/>
        <v>11.124765915140268</v>
      </c>
      <c r="D183" s="19">
        <v>5450</v>
      </c>
      <c r="E183" s="19">
        <v>24</v>
      </c>
      <c r="F183" s="3">
        <v>350</v>
      </c>
    </row>
    <row r="184" spans="2:6" hidden="1" x14ac:dyDescent="0.25">
      <c r="B184" s="145" t="s">
        <v>129</v>
      </c>
      <c r="C184" s="143">
        <f t="shared" si="4"/>
        <v>11.81</v>
      </c>
      <c r="D184" s="19">
        <v>5905</v>
      </c>
      <c r="E184" s="19">
        <v>25</v>
      </c>
      <c r="F184" s="3">
        <v>350</v>
      </c>
    </row>
    <row r="185" spans="2:6" hidden="1" x14ac:dyDescent="0.25">
      <c r="B185" s="145" t="s">
        <v>125</v>
      </c>
      <c r="C185" s="143">
        <f t="shared" si="4"/>
        <v>12.824034076685852</v>
      </c>
      <c r="D185" s="19">
        <v>6539</v>
      </c>
      <c r="E185" s="19">
        <v>26</v>
      </c>
      <c r="F185" s="3">
        <v>350</v>
      </c>
    </row>
    <row r="186" spans="2:6" hidden="1" x14ac:dyDescent="0.25">
      <c r="B186" s="145" t="s">
        <v>121</v>
      </c>
      <c r="C186" s="143">
        <f t="shared" si="4"/>
        <v>13.146265629447777</v>
      </c>
      <c r="D186" s="19">
        <v>6831</v>
      </c>
      <c r="E186" s="19">
        <v>27</v>
      </c>
      <c r="F186" s="3">
        <v>350</v>
      </c>
    </row>
    <row r="187" spans="2:6" hidden="1" x14ac:dyDescent="0.25">
      <c r="B187" s="145" t="s">
        <v>117</v>
      </c>
      <c r="C187" s="143">
        <f t="shared" si="4"/>
        <v>13.733339126790272</v>
      </c>
      <c r="D187" s="19">
        <v>7267</v>
      </c>
      <c r="E187" s="19">
        <v>28</v>
      </c>
      <c r="F187" s="3">
        <v>350</v>
      </c>
    </row>
    <row r="188" spans="2:6" hidden="1" x14ac:dyDescent="0.25">
      <c r="B188" s="145" t="s">
        <v>113</v>
      </c>
      <c r="C188" s="143">
        <f t="shared" si="4"/>
        <v>14.096552888324627</v>
      </c>
      <c r="D188" s="19">
        <v>7721</v>
      </c>
      <c r="E188" s="19">
        <v>30</v>
      </c>
      <c r="F188" s="3">
        <v>350</v>
      </c>
    </row>
    <row r="189" spans="2:6" hidden="1" x14ac:dyDescent="0.25">
      <c r="B189" s="145" t="s">
        <v>109</v>
      </c>
      <c r="C189" s="143">
        <f t="shared" si="4"/>
        <v>14.684529493709116</v>
      </c>
      <c r="D189" s="19">
        <v>8176</v>
      </c>
      <c r="E189" s="19">
        <v>31</v>
      </c>
      <c r="F189" s="3">
        <v>350</v>
      </c>
    </row>
    <row r="190" spans="2:6" hidden="1" x14ac:dyDescent="0.25">
      <c r="B190" s="145" t="s">
        <v>105</v>
      </c>
      <c r="C190" s="143">
        <f t="shared" si="4"/>
        <v>15.022901708976725</v>
      </c>
      <c r="D190" s="19">
        <v>8630</v>
      </c>
      <c r="E190" s="19">
        <v>33</v>
      </c>
      <c r="F190" s="3">
        <v>350</v>
      </c>
    </row>
    <row r="191" spans="2:6" hidden="1" x14ac:dyDescent="0.25">
      <c r="B191" s="145" t="s">
        <v>103</v>
      </c>
      <c r="C191" s="143">
        <f t="shared" si="4"/>
        <v>15.578931474345501</v>
      </c>
      <c r="D191" s="19">
        <v>9084</v>
      </c>
      <c r="E191" s="19">
        <v>34</v>
      </c>
      <c r="F191" s="3">
        <v>350</v>
      </c>
    </row>
    <row r="192" spans="2:6" hidden="1" x14ac:dyDescent="0.25">
      <c r="B192" s="145" t="s">
        <v>101</v>
      </c>
      <c r="C192" s="143">
        <f t="shared" si="4"/>
        <v>15.896666666666668</v>
      </c>
      <c r="D192" s="19">
        <v>9538</v>
      </c>
      <c r="E192" s="19">
        <v>36</v>
      </c>
      <c r="F192" s="3">
        <v>350</v>
      </c>
    </row>
    <row r="193" spans="2:6" hidden="1" x14ac:dyDescent="0.25">
      <c r="B193" s="145" t="s">
        <v>99</v>
      </c>
      <c r="C193" s="143">
        <f t="shared" si="4"/>
        <v>16.205919970963176</v>
      </c>
      <c r="D193" s="19">
        <v>9990</v>
      </c>
      <c r="E193" s="19">
        <v>38</v>
      </c>
      <c r="F193" s="3">
        <v>350</v>
      </c>
    </row>
    <row r="194" spans="2:6" hidden="1" x14ac:dyDescent="0.25">
      <c r="B194" s="145" t="s">
        <v>97</v>
      </c>
      <c r="C194" s="143">
        <f t="shared" si="4"/>
        <v>16.514995080229362</v>
      </c>
      <c r="D194" s="19">
        <v>10445</v>
      </c>
      <c r="E194" s="19">
        <v>40</v>
      </c>
      <c r="F194" s="3">
        <v>350</v>
      </c>
    </row>
    <row r="195" spans="2:6" hidden="1" x14ac:dyDescent="0.25">
      <c r="B195" s="145" t="s">
        <v>95</v>
      </c>
      <c r="C195" s="143">
        <f t="shared" si="4"/>
        <v>16.81906514586802</v>
      </c>
      <c r="D195" s="19">
        <v>10900</v>
      </c>
      <c r="E195" s="19">
        <v>42</v>
      </c>
      <c r="F195" s="3">
        <v>350</v>
      </c>
    </row>
    <row r="196" spans="2:6" ht="13" hidden="1" thickBot="1" x14ac:dyDescent="0.3">
      <c r="B196" s="147" t="s">
        <v>93</v>
      </c>
      <c r="C196" s="144">
        <f t="shared" si="4"/>
        <v>17.118306588402532</v>
      </c>
      <c r="D196" s="50">
        <v>11355</v>
      </c>
      <c r="E196" s="50">
        <v>44</v>
      </c>
      <c r="F196" s="4">
        <v>350</v>
      </c>
    </row>
    <row r="197" spans="2:6" ht="13" hidden="1" thickTop="1" x14ac:dyDescent="0.25"/>
    <row r="200" spans="2:6" x14ac:dyDescent="0.25">
      <c r="B200" s="31"/>
    </row>
  </sheetData>
  <sheetProtection algorithmName="SHA-512" hashValue="fZ0J0SvyXl5LoFp9fEumULm17ZMnrJBNz4RVsgo/lDY046ko0mTMqUDGYWxCs40xXABHaa1rKP06VA9mEMIi5A==" saltValue="Ba0hJuhepJSF/iAL59Y3qw==" spinCount="100000" sheet="1" objects="1" scenarios="1"/>
  <mergeCells count="3">
    <mergeCell ref="A1:L1"/>
    <mergeCell ref="A2:N2"/>
    <mergeCell ref="B15:C15"/>
  </mergeCells>
  <conditionalFormatting sqref="G5">
    <cfRule type="containsText" dxfId="22" priority="2" operator="containsText" text="Qutside DP-range">
      <formula>NOT(ISERROR(SEARCH("Qutside DP-range",G5)))</formula>
    </cfRule>
    <cfRule type="cellIs" dxfId="21" priority="3" operator="equal">
      <formula>"Outside DP-range"</formula>
    </cfRule>
    <cfRule type="cellIs" dxfId="20" priority="4" operator="equal">
      <formula>"Outside DP-range"</formula>
    </cfRule>
    <cfRule type="cellIs" dxfId="19" priority="6" operator="equal">
      <formula>"Under DP område"</formula>
    </cfRule>
  </conditionalFormatting>
  <conditionalFormatting sqref="F5">
    <cfRule type="cellIs" dxfId="18" priority="5" operator="lessThan">
      <formula>$C$36</formula>
    </cfRule>
  </conditionalFormatting>
  <conditionalFormatting sqref="D5">
    <cfRule type="cellIs" dxfId="17" priority="1" operator="lessThan">
      <formula>$C$36</formula>
    </cfRule>
  </conditionalFormatting>
  <pageMargins left="0.19685039370078741" right="0" top="0.59055118110236227" bottom="0.39370078740157483" header="0.51181102362204722" footer="0.51181102362204722"/>
  <pageSetup paperSize="9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95"/>
  <sheetViews>
    <sheetView showGridLines="0" zoomScaleNormal="100" workbookViewId="0">
      <selection activeCell="E100" sqref="E100"/>
    </sheetView>
  </sheetViews>
  <sheetFormatPr baseColWidth="10" defaultColWidth="11.453125" defaultRowHeight="12.5" x14ac:dyDescent="0.25"/>
  <cols>
    <col min="1" max="1" width="11" bestFit="1" customWidth="1"/>
    <col min="2" max="2" width="14.7265625" bestFit="1" customWidth="1"/>
    <col min="3" max="3" width="9.7265625" customWidth="1"/>
    <col min="4" max="4" width="10.7265625" customWidth="1"/>
    <col min="5" max="5" width="16" bestFit="1" customWidth="1"/>
    <col min="6" max="6" width="13.54296875" bestFit="1" customWidth="1"/>
    <col min="7" max="7" width="14.81640625" bestFit="1" customWidth="1"/>
    <col min="8" max="8" width="9.7265625" customWidth="1"/>
    <col min="9" max="9" width="8.1796875" customWidth="1"/>
    <col min="10" max="10" width="8.7265625" customWidth="1"/>
    <col min="11" max="11" width="8.453125" customWidth="1"/>
    <col min="12" max="12" width="9.7265625" customWidth="1"/>
    <col min="13" max="13" width="6.54296875" customWidth="1"/>
    <col min="14" max="14" width="4.7265625" hidden="1" customWidth="1"/>
    <col min="15" max="15" width="9.7265625" customWidth="1"/>
    <col min="16" max="17" width="8.7265625" customWidth="1"/>
    <col min="18" max="18" width="9.7265625" customWidth="1"/>
    <col min="19" max="19" width="8.7265625" customWidth="1"/>
    <col min="20" max="20" width="8.7265625" style="102" customWidth="1"/>
    <col min="21" max="21" width="8.7265625" customWidth="1"/>
    <col min="22" max="28" width="11.453125" customWidth="1"/>
    <col min="29" max="29" width="12.81640625" bestFit="1" customWidth="1"/>
  </cols>
  <sheetData>
    <row r="1" spans="1:44" ht="20.5" thickTop="1" x14ac:dyDescent="0.4">
      <c r="A1" s="97"/>
      <c r="B1" s="279" t="s">
        <v>333</v>
      </c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98"/>
      <c r="R1" s="99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59"/>
      <c r="AJ1" s="59"/>
      <c r="AK1" s="59"/>
      <c r="AL1" s="59"/>
      <c r="AM1" s="59"/>
      <c r="AN1" s="59"/>
      <c r="AO1" s="59"/>
      <c r="AP1" s="59"/>
      <c r="AQ1" s="59"/>
      <c r="AR1" s="59"/>
    </row>
    <row r="2" spans="1:44" ht="20.25" customHeight="1" thickBot="1" x14ac:dyDescent="0.45">
      <c r="A2" s="280" t="s">
        <v>334</v>
      </c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2"/>
      <c r="S2" s="101"/>
    </row>
    <row r="3" spans="1:44" ht="14" hidden="1" thickTop="1" thickBot="1" x14ac:dyDescent="0.35">
      <c r="A3" s="10"/>
      <c r="B3" s="2"/>
      <c r="C3" s="2"/>
      <c r="D3" s="5"/>
      <c r="E3" s="5"/>
      <c r="F3" s="5"/>
      <c r="G3" s="5"/>
      <c r="H3" s="5"/>
      <c r="I3" s="91"/>
      <c r="J3" s="62"/>
      <c r="K3" s="77"/>
      <c r="L3" s="103"/>
      <c r="M3" s="59"/>
      <c r="N3" s="59"/>
      <c r="O3" s="59"/>
      <c r="P3" s="59"/>
      <c r="Q3" s="59"/>
      <c r="R3" s="9"/>
    </row>
    <row r="4" spans="1:44" ht="13.5" thickTop="1" x14ac:dyDescent="0.3">
      <c r="A4" s="10"/>
      <c r="B4" s="2"/>
      <c r="C4" s="2"/>
      <c r="D4" s="5"/>
      <c r="E4" s="5"/>
      <c r="F4" s="5"/>
      <c r="G4" s="5"/>
      <c r="H4" s="5"/>
      <c r="I4" s="91"/>
      <c r="J4" s="62"/>
      <c r="K4" s="77"/>
      <c r="L4" s="103"/>
      <c r="M4" s="59"/>
      <c r="N4" s="59"/>
      <c r="O4" s="59"/>
      <c r="P4" s="59"/>
      <c r="Q4" s="59"/>
      <c r="R4" s="9"/>
    </row>
    <row r="5" spans="1:44" ht="13.5" thickBot="1" x14ac:dyDescent="0.35">
      <c r="A5" s="10"/>
      <c r="B5" s="104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90"/>
    </row>
    <row r="6" spans="1:44" ht="14" thickTop="1" thickBot="1" x14ac:dyDescent="0.35">
      <c r="A6" s="299" t="s">
        <v>329</v>
      </c>
      <c r="B6" s="306" t="s">
        <v>335</v>
      </c>
      <c r="C6" s="307"/>
      <c r="D6" s="308"/>
      <c r="E6" s="309" t="s">
        <v>336</v>
      </c>
      <c r="F6" s="308"/>
      <c r="G6" s="310" t="s">
        <v>332</v>
      </c>
      <c r="H6" s="311"/>
      <c r="I6" s="59"/>
      <c r="J6" s="59"/>
      <c r="K6" s="59"/>
      <c r="L6" s="2"/>
      <c r="M6" s="2"/>
      <c r="N6" s="2"/>
      <c r="O6" s="2"/>
      <c r="P6" s="2"/>
      <c r="Q6" s="2"/>
      <c r="R6" s="90"/>
      <c r="S6" s="62"/>
      <c r="T6" s="105"/>
      <c r="V6" s="106"/>
    </row>
    <row r="7" spans="1:44" ht="14" thickTop="1" thickBot="1" x14ac:dyDescent="0.35">
      <c r="A7" s="300"/>
      <c r="B7" s="63"/>
      <c r="C7" s="151" t="s">
        <v>328</v>
      </c>
      <c r="D7" s="177" t="s">
        <v>277</v>
      </c>
      <c r="E7" s="170" t="s">
        <v>331</v>
      </c>
      <c r="F7" s="168">
        <v>5</v>
      </c>
      <c r="G7" s="183">
        <f>IF($D$12&gt;600,"NOT POSSIBLE",IF($D$12&lt;C44,((($D$12/100)^0.5)*C42),C43/1000))</f>
        <v>3.82</v>
      </c>
      <c r="H7" s="184" t="s">
        <v>342</v>
      </c>
      <c r="I7" s="295" t="s">
        <v>344</v>
      </c>
      <c r="J7" s="296"/>
      <c r="K7" s="2"/>
      <c r="L7" s="2"/>
      <c r="M7" s="2"/>
      <c r="N7" s="2"/>
      <c r="O7" s="2"/>
      <c r="P7" s="2"/>
      <c r="Q7" s="2"/>
      <c r="R7" s="90"/>
      <c r="S7" s="59"/>
      <c r="T7" s="109"/>
      <c r="U7" s="59"/>
      <c r="V7" s="59"/>
      <c r="W7" s="59"/>
      <c r="X7" s="59"/>
      <c r="Y7" s="59"/>
      <c r="Z7" s="59"/>
    </row>
    <row r="8" spans="1:44" ht="14" thickTop="1" thickBot="1" x14ac:dyDescent="0.35">
      <c r="A8" s="297" t="s">
        <v>330</v>
      </c>
      <c r="B8" s="301"/>
      <c r="C8" s="302"/>
      <c r="D8" s="182" t="s">
        <v>1</v>
      </c>
      <c r="E8" s="181"/>
      <c r="F8" s="182" t="s">
        <v>1</v>
      </c>
      <c r="G8" s="312"/>
      <c r="H8" s="313"/>
      <c r="I8" s="293">
        <f>IF(D9=0,(G7*F7),(G9*F9+G7*F7))</f>
        <v>19.099999999999998</v>
      </c>
      <c r="J8" s="294" t="s">
        <v>254</v>
      </c>
      <c r="K8" s="187" t="s">
        <v>342</v>
      </c>
      <c r="L8" s="2"/>
      <c r="M8" s="2"/>
      <c r="N8" s="2"/>
      <c r="O8" s="2"/>
      <c r="P8" s="2"/>
      <c r="Q8" s="2"/>
      <c r="R8" s="90"/>
      <c r="S8" s="59"/>
      <c r="T8" s="109"/>
      <c r="U8" s="59"/>
      <c r="V8" s="59"/>
      <c r="W8" s="59"/>
      <c r="X8" s="59"/>
      <c r="Y8" s="59"/>
      <c r="Z8" s="59"/>
    </row>
    <row r="9" spans="1:44" ht="14" thickTop="1" thickBot="1" x14ac:dyDescent="0.35">
      <c r="A9" s="298"/>
      <c r="B9" s="153"/>
      <c r="C9" s="154" t="s">
        <v>328</v>
      </c>
      <c r="D9" s="178"/>
      <c r="E9" s="171" t="s">
        <v>331</v>
      </c>
      <c r="F9" s="169"/>
      <c r="G9" s="185" t="e">
        <f>IF($D$12&gt;600,"NOT POSSIBLE",IF($D$12&lt;C49,((($D$12/100)^0.5)*C47),C48/1000))</f>
        <v>#N/A</v>
      </c>
      <c r="H9" s="186" t="s">
        <v>342</v>
      </c>
      <c r="I9" s="108"/>
      <c r="J9" s="108"/>
      <c r="K9" s="108"/>
      <c r="L9" s="2"/>
      <c r="M9" s="2"/>
      <c r="N9" s="2"/>
      <c r="O9" s="2"/>
      <c r="P9" s="2"/>
      <c r="Q9" s="2"/>
      <c r="R9" s="90"/>
      <c r="S9" s="59"/>
      <c r="T9" s="109"/>
      <c r="U9" s="59"/>
      <c r="X9" s="57"/>
      <c r="Y9" s="2"/>
      <c r="Z9" s="2"/>
    </row>
    <row r="10" spans="1:44" ht="13.5" thickTop="1" x14ac:dyDescent="0.3">
      <c r="A10" s="107"/>
      <c r="B10" s="104"/>
      <c r="C10" s="5"/>
      <c r="D10" s="108"/>
      <c r="E10" s="2"/>
      <c r="F10" s="2"/>
      <c r="G10" s="2"/>
      <c r="H10" s="108"/>
      <c r="I10" s="108"/>
      <c r="J10" s="108"/>
      <c r="K10" s="108"/>
      <c r="L10" s="2"/>
      <c r="M10" s="2"/>
      <c r="N10" s="2"/>
      <c r="O10" s="2"/>
      <c r="P10" s="2"/>
      <c r="Q10" s="2"/>
      <c r="R10" s="90"/>
      <c r="S10" s="59"/>
      <c r="T10" s="109"/>
      <c r="U10" s="59"/>
      <c r="X10" s="57"/>
      <c r="Y10" s="2"/>
      <c r="Z10" s="2"/>
    </row>
    <row r="11" spans="1:44" ht="13" x14ac:dyDescent="0.3">
      <c r="A11" s="107"/>
      <c r="D11" s="167" t="s">
        <v>1</v>
      </c>
      <c r="E11" s="2"/>
      <c r="F11" s="2"/>
      <c r="G11" s="60"/>
      <c r="H11" s="2"/>
      <c r="I11" s="108"/>
      <c r="J11" s="59"/>
      <c r="K11" s="59"/>
      <c r="L11" s="59"/>
      <c r="M11" s="59"/>
      <c r="N11" s="62"/>
      <c r="O11" s="105"/>
      <c r="P11" s="59"/>
      <c r="Q11" s="59"/>
      <c r="R11" s="90"/>
      <c r="S11" s="59"/>
      <c r="T11" s="109"/>
      <c r="U11" s="59"/>
      <c r="X11" s="57"/>
      <c r="Y11" s="2"/>
      <c r="Z11" s="2"/>
    </row>
    <row r="12" spans="1:44" ht="13" x14ac:dyDescent="0.3">
      <c r="A12" s="107"/>
      <c r="C12" s="172" t="s">
        <v>339</v>
      </c>
      <c r="D12" s="152">
        <v>15</v>
      </c>
      <c r="E12" s="11" t="s">
        <v>252</v>
      </c>
      <c r="F12" s="235" t="s">
        <v>376</v>
      </c>
      <c r="G12" s="234" t="s">
        <v>379</v>
      </c>
      <c r="H12" s="2"/>
      <c r="I12" s="108"/>
      <c r="J12" s="59"/>
      <c r="K12" s="59"/>
      <c r="L12" s="59"/>
      <c r="M12" s="59"/>
      <c r="N12" s="62"/>
      <c r="O12" s="105"/>
      <c r="P12" s="59"/>
      <c r="Q12" s="59"/>
      <c r="R12" s="90"/>
      <c r="S12" s="59"/>
      <c r="T12" s="109"/>
      <c r="U12" s="59"/>
      <c r="X12" s="57"/>
      <c r="Y12" s="2"/>
      <c r="Z12" s="2"/>
    </row>
    <row r="13" spans="1:44" ht="13" x14ac:dyDescent="0.3">
      <c r="A13" s="107"/>
      <c r="E13" s="2"/>
      <c r="F13" s="2"/>
      <c r="G13" s="60"/>
      <c r="H13" s="2"/>
      <c r="I13" s="108"/>
      <c r="J13" s="59"/>
      <c r="K13" s="59"/>
      <c r="L13" s="59"/>
      <c r="M13" s="59"/>
      <c r="N13" s="62"/>
      <c r="O13" s="105"/>
      <c r="P13" s="59"/>
      <c r="Q13" s="59"/>
      <c r="R13" s="90"/>
      <c r="S13" s="59"/>
      <c r="T13" s="109"/>
      <c r="U13" s="59"/>
      <c r="V13" s="59"/>
      <c r="W13" s="59"/>
      <c r="X13" s="57"/>
      <c r="Y13" s="2"/>
      <c r="Z13" s="2"/>
    </row>
    <row r="14" spans="1:44" ht="13" x14ac:dyDescent="0.3">
      <c r="A14" s="107"/>
      <c r="B14" s="91"/>
      <c r="C14" s="180" t="s">
        <v>343</v>
      </c>
      <c r="D14" s="204">
        <f>I8</f>
        <v>19.099999999999998</v>
      </c>
      <c r="E14" s="62" t="s">
        <v>342</v>
      </c>
      <c r="F14" s="2"/>
      <c r="G14" s="60"/>
      <c r="H14" s="2"/>
      <c r="I14" s="108"/>
      <c r="J14" s="59"/>
      <c r="K14" s="59"/>
      <c r="L14" s="59"/>
      <c r="M14" s="59"/>
      <c r="N14" s="62"/>
      <c r="O14" s="105"/>
      <c r="P14" s="59"/>
      <c r="Q14" s="59"/>
      <c r="R14" s="90"/>
      <c r="S14" s="59"/>
      <c r="T14" s="109"/>
      <c r="U14" s="59"/>
      <c r="V14" s="59"/>
      <c r="W14" s="59"/>
      <c r="X14" s="57"/>
      <c r="Y14" s="2"/>
      <c r="Z14" s="2"/>
    </row>
    <row r="15" spans="1:44" ht="12.75" customHeight="1" x14ac:dyDescent="0.3">
      <c r="A15" s="10"/>
      <c r="B15" s="2"/>
      <c r="I15" s="176"/>
      <c r="N15" s="2"/>
      <c r="O15" s="2"/>
      <c r="P15" s="2"/>
      <c r="Q15" s="2"/>
      <c r="R15" s="90"/>
      <c r="S15" s="110"/>
      <c r="T15" s="109"/>
      <c r="U15" s="59"/>
      <c r="V15" s="59"/>
      <c r="W15" s="59"/>
      <c r="X15" s="59"/>
      <c r="Y15" s="59"/>
      <c r="Z15" s="59"/>
    </row>
    <row r="16" spans="1:44" ht="12.75" customHeight="1" thickBot="1" x14ac:dyDescent="0.35">
      <c r="A16" s="112"/>
      <c r="B16" s="113"/>
      <c r="N16" s="2"/>
      <c r="O16" s="2"/>
      <c r="P16" s="2"/>
      <c r="Q16" s="2"/>
      <c r="R16" s="90"/>
      <c r="S16" s="110"/>
      <c r="T16" s="109"/>
      <c r="U16" s="59"/>
      <c r="V16" s="59"/>
      <c r="W16" s="59"/>
      <c r="X16" s="59"/>
      <c r="Y16" s="59"/>
      <c r="Z16" s="59"/>
    </row>
    <row r="17" spans="1:34" ht="12.75" customHeight="1" thickTop="1" x14ac:dyDescent="0.3">
      <c r="A17" s="116" t="s">
        <v>257</v>
      </c>
      <c r="B17" s="53" t="s">
        <v>256</v>
      </c>
      <c r="C17" s="117" t="s">
        <v>260</v>
      </c>
      <c r="N17" s="2"/>
      <c r="O17" s="2"/>
      <c r="P17" s="2"/>
      <c r="Q17" s="2"/>
      <c r="R17" s="90"/>
      <c r="S17" s="110"/>
      <c r="T17" s="109"/>
      <c r="U17" s="59"/>
      <c r="V17" s="59"/>
      <c r="W17" s="59"/>
      <c r="X17" s="59"/>
      <c r="Y17" s="59"/>
      <c r="Z17" s="59"/>
      <c r="AC17" s="2"/>
      <c r="AD17" s="2"/>
      <c r="AE17" s="2"/>
      <c r="AF17" s="2"/>
      <c r="AG17" s="2"/>
      <c r="AH17" s="2"/>
    </row>
    <row r="18" spans="1:34" ht="12.75" customHeight="1" x14ac:dyDescent="0.3">
      <c r="A18" s="118" t="s">
        <v>263</v>
      </c>
      <c r="B18" s="119" t="s">
        <v>261</v>
      </c>
      <c r="C18" s="120" t="s">
        <v>262</v>
      </c>
      <c r="N18" s="2"/>
      <c r="O18" s="2"/>
      <c r="P18" s="2"/>
      <c r="Q18" s="2"/>
      <c r="R18" s="90"/>
      <c r="S18" s="110"/>
      <c r="T18" s="109"/>
      <c r="U18" s="59"/>
      <c r="V18" s="59"/>
      <c r="W18" s="59"/>
      <c r="X18" s="59"/>
      <c r="Y18" s="59"/>
      <c r="Z18" s="59"/>
      <c r="AC18" s="2"/>
      <c r="AD18" s="59"/>
      <c r="AE18" s="59"/>
      <c r="AF18" s="59"/>
      <c r="AG18" s="2"/>
      <c r="AH18" s="2"/>
    </row>
    <row r="19" spans="1:34" ht="12.75" customHeight="1" x14ac:dyDescent="0.3">
      <c r="A19" s="118" t="s">
        <v>253</v>
      </c>
      <c r="B19" s="123"/>
      <c r="C19" s="124"/>
      <c r="J19" s="2"/>
      <c r="K19" s="2"/>
      <c r="L19" s="2"/>
      <c r="M19" s="2"/>
      <c r="N19" s="2"/>
      <c r="O19" s="2"/>
      <c r="P19" s="2"/>
      <c r="Q19" s="2"/>
      <c r="R19" s="90"/>
      <c r="S19" s="59"/>
      <c r="T19" s="109"/>
      <c r="U19" s="59"/>
      <c r="V19" s="59"/>
      <c r="W19" s="59"/>
      <c r="X19" s="59"/>
      <c r="Y19" s="59"/>
      <c r="Z19" s="59"/>
      <c r="AC19" s="2"/>
      <c r="AD19" s="59"/>
      <c r="AE19" s="59"/>
      <c r="AF19" s="59"/>
      <c r="AG19" s="2"/>
      <c r="AH19" s="2"/>
    </row>
    <row r="20" spans="1:34" ht="12.75" customHeight="1" x14ac:dyDescent="0.3">
      <c r="A20" s="125"/>
      <c r="B20" s="123"/>
      <c r="C20" s="126"/>
      <c r="D20" s="60"/>
      <c r="E20" s="60"/>
      <c r="F20" s="60"/>
      <c r="G20" s="60"/>
      <c r="H20" s="115"/>
      <c r="I20" s="60"/>
      <c r="J20" s="60"/>
      <c r="K20" s="60"/>
      <c r="L20" s="60"/>
      <c r="M20" s="60"/>
      <c r="N20" s="115"/>
      <c r="O20" s="2"/>
      <c r="P20" s="2"/>
      <c r="Q20" s="2"/>
      <c r="R20" s="90"/>
      <c r="S20" s="59"/>
      <c r="T20" s="109"/>
      <c r="U20" s="59"/>
      <c r="V20" s="59"/>
      <c r="W20" s="59"/>
      <c r="X20" s="59"/>
      <c r="Y20" s="59"/>
      <c r="Z20" s="59"/>
      <c r="AC20" s="2"/>
      <c r="AD20" s="2"/>
      <c r="AE20" s="2"/>
      <c r="AF20" s="2"/>
      <c r="AG20" s="2"/>
      <c r="AH20" s="2"/>
    </row>
    <row r="21" spans="1:34" ht="12.75" customHeight="1" x14ac:dyDescent="0.3">
      <c r="A21" s="128">
        <v>50</v>
      </c>
      <c r="B21" s="129" t="s">
        <v>264</v>
      </c>
      <c r="C21" s="130">
        <v>1</v>
      </c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90"/>
      <c r="S21" s="59"/>
      <c r="T21" s="109"/>
      <c r="U21" s="59"/>
      <c r="V21" s="59"/>
      <c r="W21" s="59"/>
      <c r="X21" s="59"/>
      <c r="Y21" s="59"/>
      <c r="Z21" s="59"/>
    </row>
    <row r="22" spans="1:34" ht="12.75" customHeight="1" x14ac:dyDescent="0.3">
      <c r="A22" s="118">
        <v>65</v>
      </c>
      <c r="B22" s="132" t="s">
        <v>264</v>
      </c>
      <c r="C22" s="120">
        <v>1</v>
      </c>
      <c r="D22" s="2"/>
      <c r="E22" s="2"/>
      <c r="F22" s="2"/>
      <c r="G22" s="2"/>
      <c r="H22" s="2"/>
      <c r="I22" s="2"/>
      <c r="J22" s="2"/>
      <c r="K22" s="2"/>
      <c r="L22" s="121"/>
      <c r="M22" s="122"/>
      <c r="N22" s="122"/>
      <c r="O22" s="122"/>
      <c r="P22" s="122"/>
      <c r="Q22" s="122"/>
      <c r="R22" s="90"/>
      <c r="S22" s="59"/>
      <c r="T22" s="109"/>
      <c r="U22" s="59"/>
      <c r="V22" s="59"/>
      <c r="W22" s="59"/>
      <c r="X22" s="59"/>
      <c r="Y22" s="59"/>
      <c r="Z22" s="59"/>
    </row>
    <row r="23" spans="1:34" ht="14" x14ac:dyDescent="0.3">
      <c r="A23" s="128">
        <v>80</v>
      </c>
      <c r="B23" s="129" t="s">
        <v>264</v>
      </c>
      <c r="C23" s="130">
        <v>1</v>
      </c>
      <c r="D23" s="2"/>
      <c r="E23" s="2"/>
      <c r="F23" s="2"/>
      <c r="G23" s="2"/>
      <c r="H23" s="2"/>
      <c r="I23" s="2"/>
      <c r="J23" s="2"/>
      <c r="K23" s="2"/>
      <c r="L23" s="122"/>
      <c r="M23" s="122"/>
      <c r="N23" s="122"/>
      <c r="O23" s="122"/>
      <c r="P23" s="122"/>
      <c r="Q23" s="122"/>
      <c r="R23" s="90"/>
      <c r="S23" s="59"/>
      <c r="T23" s="109"/>
      <c r="U23" s="59"/>
      <c r="V23" s="59"/>
      <c r="W23" s="59"/>
      <c r="X23" s="59"/>
      <c r="Y23" s="59"/>
      <c r="Z23" s="59"/>
    </row>
    <row r="24" spans="1:34" ht="14" x14ac:dyDescent="0.3">
      <c r="A24" s="118">
        <v>100</v>
      </c>
      <c r="B24" s="135" t="s">
        <v>265</v>
      </c>
      <c r="C24" s="120">
        <v>2</v>
      </c>
      <c r="D24" s="2"/>
      <c r="E24" s="2"/>
      <c r="F24" s="2"/>
      <c r="G24" s="2"/>
      <c r="H24" s="2"/>
      <c r="I24" s="2"/>
      <c r="J24" s="2"/>
      <c r="K24" s="2"/>
      <c r="L24" s="127"/>
      <c r="M24" s="127"/>
      <c r="N24" s="121"/>
      <c r="O24" s="121"/>
      <c r="P24" s="121"/>
      <c r="Q24" s="121"/>
      <c r="R24" s="90"/>
      <c r="S24" s="59"/>
      <c r="T24" s="109"/>
      <c r="U24" s="59"/>
      <c r="V24" s="59"/>
      <c r="W24" s="59"/>
      <c r="X24" s="59"/>
      <c r="Y24" s="59"/>
      <c r="Z24" s="59"/>
    </row>
    <row r="25" spans="1:34" ht="14" x14ac:dyDescent="0.3">
      <c r="A25" s="128">
        <v>125</v>
      </c>
      <c r="B25" s="129" t="s">
        <v>266</v>
      </c>
      <c r="C25" s="130">
        <v>3</v>
      </c>
      <c r="D25" s="2"/>
      <c r="E25" s="2"/>
      <c r="F25" s="2"/>
      <c r="G25" s="2"/>
      <c r="H25" s="2"/>
      <c r="I25" s="2"/>
      <c r="J25" s="2"/>
      <c r="K25" s="2"/>
      <c r="L25" s="127"/>
      <c r="M25" s="127"/>
      <c r="N25" s="127"/>
      <c r="O25" s="127"/>
      <c r="P25" s="131"/>
      <c r="Q25" s="121"/>
      <c r="R25" s="90"/>
      <c r="S25" s="59"/>
      <c r="T25" s="109"/>
      <c r="U25" s="59"/>
      <c r="V25" s="59"/>
      <c r="W25" s="59"/>
      <c r="X25" s="59"/>
      <c r="Y25" s="59"/>
      <c r="Z25" s="59"/>
    </row>
    <row r="26" spans="1:34" ht="14" x14ac:dyDescent="0.3">
      <c r="A26" s="118">
        <v>150</v>
      </c>
      <c r="B26" s="135" t="s">
        <v>267</v>
      </c>
      <c r="C26" s="120">
        <v>4</v>
      </c>
      <c r="D26" s="2"/>
      <c r="E26" s="2"/>
      <c r="F26" s="2"/>
      <c r="G26" s="2"/>
      <c r="H26" s="2"/>
      <c r="I26" s="2"/>
      <c r="J26" s="2"/>
      <c r="K26" s="2"/>
      <c r="L26" s="127"/>
      <c r="M26" s="127"/>
      <c r="N26" s="121"/>
      <c r="O26" s="121"/>
      <c r="P26" s="133"/>
      <c r="Q26" s="121"/>
      <c r="R26" s="90"/>
      <c r="S26" s="59"/>
      <c r="T26" s="109"/>
      <c r="U26" s="59"/>
      <c r="V26" s="59"/>
      <c r="W26" s="59"/>
      <c r="X26" s="59"/>
      <c r="Y26" s="59"/>
      <c r="Z26" s="59"/>
    </row>
    <row r="27" spans="1:34" ht="14" x14ac:dyDescent="0.3">
      <c r="A27" s="128">
        <v>200</v>
      </c>
      <c r="B27" s="129" t="s">
        <v>268</v>
      </c>
      <c r="C27" s="130">
        <v>7</v>
      </c>
      <c r="D27" s="2"/>
      <c r="E27" s="2"/>
      <c r="F27" s="2"/>
      <c r="G27" s="2"/>
      <c r="H27" s="2"/>
      <c r="I27" s="2"/>
      <c r="J27" s="2"/>
      <c r="K27" s="2"/>
      <c r="L27" s="127"/>
      <c r="M27" s="127"/>
      <c r="N27" s="121"/>
      <c r="O27" s="121"/>
      <c r="P27" s="134"/>
      <c r="Q27" s="121"/>
      <c r="R27" s="9"/>
    </row>
    <row r="28" spans="1:34" ht="14" x14ac:dyDescent="0.3">
      <c r="A28" s="118">
        <v>250</v>
      </c>
      <c r="B28" s="135" t="s">
        <v>269</v>
      </c>
      <c r="C28" s="120">
        <v>12</v>
      </c>
      <c r="D28" s="2"/>
      <c r="E28" s="2"/>
      <c r="F28" s="2"/>
      <c r="G28" s="2"/>
      <c r="H28" s="2"/>
      <c r="I28" s="2"/>
      <c r="J28" s="2"/>
      <c r="K28" s="2"/>
      <c r="L28" s="127"/>
      <c r="M28" s="127"/>
      <c r="N28" s="121"/>
      <c r="O28" s="121"/>
      <c r="P28" s="121"/>
      <c r="Q28" s="121"/>
      <c r="R28" s="9"/>
    </row>
    <row r="29" spans="1:34" ht="14" x14ac:dyDescent="0.3">
      <c r="A29" s="128">
        <v>300</v>
      </c>
      <c r="B29" s="129" t="s">
        <v>270</v>
      </c>
      <c r="C29" s="130">
        <v>15</v>
      </c>
      <c r="D29" s="2"/>
      <c r="E29" s="2"/>
      <c r="F29" s="2"/>
      <c r="G29" s="2"/>
      <c r="H29" s="2"/>
      <c r="I29" s="2"/>
      <c r="J29" s="2"/>
      <c r="K29" s="2"/>
      <c r="L29" s="133"/>
      <c r="M29" s="127"/>
      <c r="N29" s="136"/>
      <c r="O29" s="121"/>
      <c r="P29" s="137"/>
      <c r="Q29" s="121"/>
      <c r="R29" s="9"/>
    </row>
    <row r="30" spans="1:34" ht="14" x14ac:dyDescent="0.3">
      <c r="A30" s="118">
        <v>350</v>
      </c>
      <c r="B30" s="135" t="s">
        <v>271</v>
      </c>
      <c r="C30" s="120">
        <v>19</v>
      </c>
      <c r="D30" s="2"/>
      <c r="E30" s="2"/>
      <c r="F30" s="2"/>
      <c r="G30" s="2"/>
      <c r="H30" s="2"/>
      <c r="I30" s="2"/>
      <c r="J30" s="2"/>
      <c r="K30" s="2"/>
      <c r="L30" s="133"/>
      <c r="M30" s="127"/>
      <c r="N30" s="136"/>
      <c r="O30" s="121"/>
      <c r="P30" s="137"/>
      <c r="Q30" s="121"/>
      <c r="R30" s="9"/>
    </row>
    <row r="31" spans="1:34" ht="14" x14ac:dyDescent="0.3">
      <c r="A31" s="128">
        <v>400</v>
      </c>
      <c r="B31" s="129" t="s">
        <v>272</v>
      </c>
      <c r="C31" s="130">
        <v>26</v>
      </c>
      <c r="D31" s="2"/>
      <c r="E31" s="2"/>
      <c r="F31" s="2"/>
      <c r="G31" s="2"/>
      <c r="H31" s="2"/>
      <c r="I31" s="2"/>
      <c r="J31" s="2"/>
      <c r="K31" s="2"/>
      <c r="L31" s="138"/>
      <c r="M31" s="127"/>
      <c r="N31" s="121"/>
      <c r="O31" s="121"/>
      <c r="P31" s="121"/>
      <c r="Q31" s="121"/>
      <c r="R31" s="9"/>
    </row>
    <row r="32" spans="1:34" ht="13" x14ac:dyDescent="0.3">
      <c r="A32" s="118">
        <v>450</v>
      </c>
      <c r="B32" s="135" t="s">
        <v>273</v>
      </c>
      <c r="C32" s="120">
        <v>33</v>
      </c>
      <c r="D32" s="2"/>
      <c r="E32" s="2"/>
      <c r="F32" s="2"/>
      <c r="G32" s="2"/>
      <c r="H32" s="2"/>
      <c r="I32" s="2"/>
      <c r="J32" s="2"/>
      <c r="K32" s="2"/>
      <c r="L32" s="92"/>
      <c r="M32" s="92"/>
      <c r="N32" s="2"/>
      <c r="O32" s="2"/>
      <c r="P32" s="2"/>
      <c r="Q32" s="2"/>
      <c r="R32" s="9"/>
      <c r="S32" s="2"/>
      <c r="T32" s="92"/>
    </row>
    <row r="33" spans="1:20" ht="13" x14ac:dyDescent="0.3">
      <c r="A33" s="128">
        <v>500</v>
      </c>
      <c r="B33" s="129" t="s">
        <v>274</v>
      </c>
      <c r="C33" s="130">
        <v>40</v>
      </c>
      <c r="D33" s="2"/>
      <c r="E33" s="2"/>
      <c r="F33" s="2"/>
      <c r="G33" s="2"/>
      <c r="H33" s="2"/>
      <c r="I33" s="2"/>
      <c r="J33" s="2"/>
      <c r="K33" s="2"/>
      <c r="L33" s="92"/>
      <c r="M33" s="92"/>
      <c r="N33" s="2"/>
      <c r="O33" s="2"/>
      <c r="P33" s="2"/>
      <c r="Q33" s="2"/>
      <c r="R33" s="9"/>
      <c r="S33" s="2"/>
      <c r="T33" s="92"/>
    </row>
    <row r="34" spans="1:20" ht="13" x14ac:dyDescent="0.3">
      <c r="A34" s="118">
        <v>600</v>
      </c>
      <c r="B34" s="135" t="s">
        <v>275</v>
      </c>
      <c r="C34" s="124">
        <v>56</v>
      </c>
      <c r="D34" s="2"/>
      <c r="E34" s="2"/>
      <c r="F34" s="2"/>
      <c r="G34" s="2"/>
      <c r="H34" s="2"/>
      <c r="I34" s="2"/>
      <c r="J34" s="2"/>
      <c r="K34" s="2"/>
      <c r="L34" s="92"/>
      <c r="M34" s="92"/>
      <c r="N34" s="2"/>
      <c r="O34" s="2"/>
      <c r="P34" s="2"/>
      <c r="Q34" s="2"/>
      <c r="R34" s="9"/>
      <c r="S34" s="2"/>
      <c r="T34" s="92"/>
    </row>
    <row r="35" spans="1:20" ht="13.5" thickBot="1" x14ac:dyDescent="0.35">
      <c r="A35" s="139">
        <v>800</v>
      </c>
      <c r="B35" s="140" t="s">
        <v>276</v>
      </c>
      <c r="C35" s="141">
        <v>85</v>
      </c>
      <c r="D35" s="2"/>
      <c r="E35" s="2"/>
      <c r="F35" s="2"/>
      <c r="G35" s="2"/>
      <c r="H35" s="2"/>
      <c r="I35" s="2"/>
      <c r="J35" s="2"/>
      <c r="K35" s="2"/>
      <c r="L35" s="92"/>
      <c r="M35" s="92"/>
      <c r="N35" s="2"/>
      <c r="O35" s="2"/>
      <c r="P35" s="2"/>
      <c r="Q35" s="2"/>
      <c r="R35" s="9"/>
      <c r="S35" s="2"/>
      <c r="T35" s="92"/>
    </row>
    <row r="36" spans="1:20" ht="13" thickTop="1" x14ac:dyDescent="0.25">
      <c r="D36" s="2"/>
      <c r="E36" s="2"/>
      <c r="F36" s="2"/>
      <c r="G36" s="2"/>
      <c r="H36" s="2"/>
      <c r="I36" s="2"/>
      <c r="J36" s="2"/>
      <c r="K36" s="2"/>
      <c r="L36" s="92"/>
      <c r="M36" s="92"/>
      <c r="N36" s="2"/>
      <c r="O36" s="2"/>
      <c r="P36" s="2"/>
      <c r="Q36" s="2"/>
      <c r="R36" s="9"/>
      <c r="S36" s="2"/>
      <c r="T36" s="92"/>
    </row>
    <row r="37" spans="1:20" ht="13" x14ac:dyDescent="0.3">
      <c r="A37" s="176" t="s">
        <v>345</v>
      </c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9"/>
      <c r="S37" s="2"/>
      <c r="T37" s="92"/>
    </row>
    <row r="38" spans="1:20" x14ac:dyDescent="0.25"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9"/>
    </row>
    <row r="39" spans="1:20" ht="13" thickBot="1" x14ac:dyDescent="0.3">
      <c r="A39" s="197" t="s">
        <v>57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6"/>
    </row>
    <row r="40" spans="1:20" ht="13" thickTop="1" x14ac:dyDescent="0.25"/>
    <row r="41" spans="1:20" ht="13" hidden="1" thickTop="1" x14ac:dyDescent="0.25">
      <c r="B41" s="303" t="s">
        <v>329</v>
      </c>
      <c r="C41" s="304"/>
      <c r="D41" s="305"/>
    </row>
    <row r="42" spans="1:20" ht="13" hidden="1" x14ac:dyDescent="0.3">
      <c r="B42" s="159" t="s">
        <v>322</v>
      </c>
      <c r="C42" s="160">
        <f>VLOOKUP($D$7,$B$52:$E$95,2)</f>
        <v>10.594773747901876</v>
      </c>
      <c r="D42" s="161" t="s">
        <v>324</v>
      </c>
    </row>
    <row r="43" spans="1:20" ht="13" hidden="1" x14ac:dyDescent="0.3">
      <c r="B43" s="159" t="s">
        <v>323</v>
      </c>
      <c r="C43" s="160">
        <f>VLOOKUP($D$7,$B$52:$E$95,3)</f>
        <v>3820</v>
      </c>
      <c r="D43" s="161" t="s">
        <v>254</v>
      </c>
    </row>
    <row r="44" spans="1:20" ht="13.5" hidden="1" thickBot="1" x14ac:dyDescent="0.35">
      <c r="B44" s="163" t="s">
        <v>326</v>
      </c>
      <c r="C44" s="166">
        <f>VLOOKUP($D$7,$B$52:$E$95,4)</f>
        <v>13</v>
      </c>
      <c r="D44" s="165" t="s">
        <v>252</v>
      </c>
    </row>
    <row r="45" spans="1:20" ht="14" hidden="1" thickTop="1" thickBot="1" x14ac:dyDescent="0.35">
      <c r="B45" s="60"/>
      <c r="C45" s="111"/>
      <c r="D45" s="60"/>
    </row>
    <row r="46" spans="1:20" ht="13" hidden="1" thickTop="1" x14ac:dyDescent="0.25">
      <c r="B46" s="303" t="s">
        <v>329</v>
      </c>
      <c r="C46" s="304"/>
      <c r="D46" s="305"/>
    </row>
    <row r="47" spans="1:20" ht="13" hidden="1" x14ac:dyDescent="0.3">
      <c r="B47" s="159" t="s">
        <v>322</v>
      </c>
      <c r="C47" s="160" t="e">
        <f>VLOOKUP($D$9,$B$52:$E$95,2)</f>
        <v>#N/A</v>
      </c>
      <c r="D47" s="161" t="s">
        <v>324</v>
      </c>
    </row>
    <row r="48" spans="1:20" ht="13" hidden="1" x14ac:dyDescent="0.3">
      <c r="B48" s="159" t="s">
        <v>323</v>
      </c>
      <c r="C48" s="160" t="e">
        <f>VLOOKUP($D$9,$B$52:$E$95,3)</f>
        <v>#N/A</v>
      </c>
      <c r="D48" s="161" t="s">
        <v>254</v>
      </c>
    </row>
    <row r="49" spans="2:8" ht="13.5" hidden="1" thickBot="1" x14ac:dyDescent="0.35">
      <c r="B49" s="163" t="s">
        <v>326</v>
      </c>
      <c r="C49" s="166" t="e">
        <f>VLOOKUP($D$9,$B$52:$E$95,4)</f>
        <v>#N/A</v>
      </c>
      <c r="D49" s="165" t="s">
        <v>252</v>
      </c>
    </row>
    <row r="50" spans="2:8" ht="13.5" hidden="1" thickTop="1" x14ac:dyDescent="0.3">
      <c r="B50" s="60"/>
      <c r="C50" s="111"/>
      <c r="D50" s="60"/>
    </row>
    <row r="51" spans="2:8" ht="13" hidden="1" thickBot="1" x14ac:dyDescent="0.3"/>
    <row r="52" spans="2:8" ht="13" hidden="1" thickTop="1" x14ac:dyDescent="0.25">
      <c r="B52" s="36" t="s">
        <v>259</v>
      </c>
      <c r="C52" s="42" t="s">
        <v>87</v>
      </c>
      <c r="D52" s="42" t="s">
        <v>254</v>
      </c>
      <c r="E52" s="37" t="s">
        <v>85</v>
      </c>
    </row>
    <row r="53" spans="2:8" hidden="1" x14ac:dyDescent="0.25">
      <c r="B53" s="145" t="s">
        <v>277</v>
      </c>
      <c r="C53" s="157">
        <f>D53/1000/(E53/100)^0.5</f>
        <v>10.594773747901876</v>
      </c>
      <c r="D53" s="156">
        <v>3820</v>
      </c>
      <c r="E53" s="146">
        <v>13</v>
      </c>
      <c r="G53" s="114"/>
      <c r="H53" s="155"/>
    </row>
    <row r="54" spans="2:8" hidden="1" x14ac:dyDescent="0.25">
      <c r="B54" s="145" t="s">
        <v>278</v>
      </c>
      <c r="C54" s="157">
        <f t="shared" ref="C54:C95" si="0">D54/1000/(E54/100)^0.5</f>
        <v>10.902632356806878</v>
      </c>
      <c r="D54" s="19">
        <v>3931</v>
      </c>
      <c r="E54" s="146">
        <v>13</v>
      </c>
      <c r="G54" s="114"/>
      <c r="H54" s="155"/>
    </row>
    <row r="55" spans="2:8" hidden="1" x14ac:dyDescent="0.25">
      <c r="B55" s="145" t="s">
        <v>279</v>
      </c>
      <c r="C55" s="157">
        <f t="shared" si="0"/>
        <v>11.229905472579764</v>
      </c>
      <c r="D55" s="19">
        <v>4049</v>
      </c>
      <c r="E55" s="146">
        <v>13</v>
      </c>
      <c r="G55" s="114"/>
      <c r="H55" s="155"/>
    </row>
    <row r="56" spans="2:8" hidden="1" x14ac:dyDescent="0.25">
      <c r="B56" s="145" t="s">
        <v>280</v>
      </c>
      <c r="C56" s="157">
        <f t="shared" si="0"/>
        <v>11.645930619748684</v>
      </c>
      <c r="D56" s="19">
        <v>4199</v>
      </c>
      <c r="E56" s="146">
        <v>13</v>
      </c>
      <c r="G56" s="114"/>
      <c r="H56" s="155"/>
    </row>
    <row r="57" spans="2:8" hidden="1" x14ac:dyDescent="0.25">
      <c r="B57" s="145" t="s">
        <v>281</v>
      </c>
      <c r="C57" s="157">
        <f t="shared" si="0"/>
        <v>12.200630815973915</v>
      </c>
      <c r="D57" s="19">
        <v>4399</v>
      </c>
      <c r="E57" s="146">
        <v>13</v>
      </c>
      <c r="G57" s="114"/>
      <c r="H57" s="155"/>
    </row>
    <row r="58" spans="2:8" hidden="1" x14ac:dyDescent="0.25">
      <c r="B58" s="145" t="s">
        <v>282</v>
      </c>
      <c r="C58" s="157">
        <f t="shared" si="0"/>
        <v>12.40092162473649</v>
      </c>
      <c r="D58" s="19">
        <v>4640</v>
      </c>
      <c r="E58" s="146">
        <v>14</v>
      </c>
      <c r="G58" s="114"/>
      <c r="H58" s="155"/>
    </row>
    <row r="59" spans="2:8" hidden="1" x14ac:dyDescent="0.25">
      <c r="B59" s="145" t="s">
        <v>283</v>
      </c>
      <c r="C59" s="157">
        <f t="shared" si="0"/>
        <v>13.23210408708413</v>
      </c>
      <c r="D59" s="19">
        <v>4951</v>
      </c>
      <c r="E59" s="146">
        <v>14</v>
      </c>
      <c r="G59" s="114"/>
      <c r="H59" s="155"/>
    </row>
    <row r="60" spans="2:8" hidden="1" x14ac:dyDescent="0.25">
      <c r="B60" s="145" t="s">
        <v>284</v>
      </c>
      <c r="C60" s="157">
        <f t="shared" si="0"/>
        <v>14.191571945549732</v>
      </c>
      <c r="D60" s="19">
        <v>5310</v>
      </c>
      <c r="E60" s="146">
        <v>14</v>
      </c>
      <c r="G60" s="114"/>
      <c r="H60" s="155"/>
    </row>
    <row r="61" spans="2:8" hidden="1" x14ac:dyDescent="0.25">
      <c r="B61" s="145" t="s">
        <v>285</v>
      </c>
      <c r="C61" s="157">
        <f t="shared" si="0"/>
        <v>15.233890789008189</v>
      </c>
      <c r="D61" s="19">
        <v>5700</v>
      </c>
      <c r="E61" s="146">
        <v>14</v>
      </c>
      <c r="G61" s="114"/>
      <c r="H61" s="155"/>
    </row>
    <row r="62" spans="2:8" hidden="1" x14ac:dyDescent="0.25">
      <c r="B62" s="145" t="s">
        <v>286</v>
      </c>
      <c r="C62" s="157">
        <f t="shared" si="0"/>
        <v>16.594250510342427</v>
      </c>
      <c r="D62" s="19">
        <v>6209</v>
      </c>
      <c r="E62" s="146">
        <v>14</v>
      </c>
      <c r="G62" s="114"/>
      <c r="H62" s="155"/>
    </row>
    <row r="63" spans="2:8" hidden="1" x14ac:dyDescent="0.25">
      <c r="B63" s="145" t="s">
        <v>287</v>
      </c>
      <c r="C63" s="157">
        <f t="shared" si="0"/>
        <v>17.401379460917951</v>
      </c>
      <c r="D63" s="19">
        <v>6511</v>
      </c>
      <c r="E63" s="146">
        <v>14</v>
      </c>
      <c r="G63" s="114"/>
      <c r="H63" s="155"/>
    </row>
    <row r="64" spans="2:8" hidden="1" x14ac:dyDescent="0.25">
      <c r="B64" s="145" t="s">
        <v>288</v>
      </c>
      <c r="C64" s="157">
        <f t="shared" si="0"/>
        <v>18.924768539818771</v>
      </c>
      <c r="D64" s="19">
        <v>7081</v>
      </c>
      <c r="E64" s="146">
        <v>14</v>
      </c>
      <c r="G64" s="114"/>
      <c r="H64" s="155"/>
    </row>
    <row r="65" spans="2:8" hidden="1" x14ac:dyDescent="0.25">
      <c r="B65" s="145" t="s">
        <v>289</v>
      </c>
      <c r="C65" s="157">
        <f t="shared" si="0"/>
        <v>20.400294278923198</v>
      </c>
      <c r="D65" s="19">
        <v>7901</v>
      </c>
      <c r="E65" s="146">
        <v>15</v>
      </c>
      <c r="G65" s="114"/>
      <c r="H65" s="155"/>
    </row>
    <row r="66" spans="2:8" hidden="1" x14ac:dyDescent="0.25">
      <c r="B66" s="145" t="s">
        <v>290</v>
      </c>
      <c r="C66" s="157">
        <f t="shared" si="0"/>
        <v>22.25</v>
      </c>
      <c r="D66" s="19">
        <v>8900</v>
      </c>
      <c r="E66" s="146">
        <v>16</v>
      </c>
      <c r="G66" s="114"/>
      <c r="H66" s="155"/>
    </row>
    <row r="67" spans="2:8" hidden="1" x14ac:dyDescent="0.25">
      <c r="B67" s="145" t="s">
        <v>291</v>
      </c>
      <c r="C67" s="157">
        <f t="shared" si="0"/>
        <v>23.856942165199719</v>
      </c>
      <c r="D67" s="19">
        <v>10399</v>
      </c>
      <c r="E67" s="146">
        <v>19</v>
      </c>
      <c r="G67" s="114"/>
      <c r="H67" s="155"/>
    </row>
    <row r="68" spans="2:8" hidden="1" x14ac:dyDescent="0.25">
      <c r="B68" s="145" t="s">
        <v>292</v>
      </c>
      <c r="C68" s="157">
        <f t="shared" si="0"/>
        <v>24.208941342179564</v>
      </c>
      <c r="D68" s="19">
        <v>11355</v>
      </c>
      <c r="E68" s="146">
        <v>22</v>
      </c>
      <c r="G68" s="114"/>
      <c r="H68" s="155"/>
    </row>
    <row r="69" spans="2:8" hidden="1" x14ac:dyDescent="0.25">
      <c r="B69" s="145" t="s">
        <v>293</v>
      </c>
      <c r="C69" s="157">
        <f t="shared" si="0"/>
        <v>26.045535459869207</v>
      </c>
      <c r="D69" s="19">
        <v>12491</v>
      </c>
      <c r="E69" s="146">
        <v>23</v>
      </c>
      <c r="G69" s="114"/>
      <c r="H69" s="155"/>
    </row>
    <row r="70" spans="2:8" hidden="1" x14ac:dyDescent="0.25">
      <c r="B70" s="145" t="s">
        <v>294</v>
      </c>
      <c r="C70" s="157">
        <f t="shared" si="0"/>
        <v>27.350594219626501</v>
      </c>
      <c r="D70" s="19">
        <v>13399</v>
      </c>
      <c r="E70" s="146">
        <v>24</v>
      </c>
      <c r="G70" s="114"/>
      <c r="H70" s="155"/>
    </row>
    <row r="71" spans="2:8" hidden="1" x14ac:dyDescent="0.25">
      <c r="B71" s="145" t="s">
        <v>295</v>
      </c>
      <c r="C71" s="157">
        <f t="shared" si="0"/>
        <v>28.409482245924181</v>
      </c>
      <c r="D71" s="19">
        <v>14762</v>
      </c>
      <c r="E71" s="146">
        <v>27</v>
      </c>
      <c r="G71" s="114"/>
      <c r="H71" s="155"/>
    </row>
    <row r="72" spans="2:8" hidden="1" x14ac:dyDescent="0.25">
      <c r="B72" s="145" t="s">
        <v>296</v>
      </c>
      <c r="C72" s="157">
        <f t="shared" si="0"/>
        <v>29.709397154946529</v>
      </c>
      <c r="D72" s="19">
        <v>15999</v>
      </c>
      <c r="E72" s="146">
        <v>29</v>
      </c>
      <c r="G72" s="114"/>
      <c r="H72" s="155"/>
    </row>
    <row r="73" spans="2:8" hidden="1" x14ac:dyDescent="0.25">
      <c r="B73" s="145" t="s">
        <v>297</v>
      </c>
      <c r="C73" s="157">
        <f t="shared" si="0"/>
        <v>29.218213950729226</v>
      </c>
      <c r="D73" s="19">
        <v>17037</v>
      </c>
      <c r="E73" s="146">
        <v>34</v>
      </c>
      <c r="G73" s="114"/>
      <c r="H73" s="155"/>
    </row>
    <row r="74" spans="2:8" hidden="1" x14ac:dyDescent="0.25">
      <c r="B74" s="145" t="s">
        <v>298</v>
      </c>
      <c r="C74" s="157">
        <f t="shared" si="0"/>
        <v>31.123563231662501</v>
      </c>
      <c r="D74" s="19">
        <v>18148</v>
      </c>
      <c r="E74" s="146">
        <v>34</v>
      </c>
      <c r="G74" s="114"/>
      <c r="H74" s="155"/>
    </row>
    <row r="75" spans="2:8" hidden="1" x14ac:dyDescent="0.25">
      <c r="B75" s="145" t="s">
        <v>299</v>
      </c>
      <c r="C75" s="157">
        <f t="shared" si="0"/>
        <v>31.772729052263855</v>
      </c>
      <c r="D75" s="19">
        <v>18797</v>
      </c>
      <c r="E75" s="146">
        <v>35</v>
      </c>
      <c r="G75" s="114"/>
      <c r="H75" s="155"/>
    </row>
    <row r="76" spans="2:8" hidden="1" x14ac:dyDescent="0.25">
      <c r="B76" s="145" t="s">
        <v>300</v>
      </c>
      <c r="C76" s="157">
        <f t="shared" si="0"/>
        <v>32.90523575360006</v>
      </c>
      <c r="D76" s="19">
        <v>19467</v>
      </c>
      <c r="E76" s="146">
        <v>35</v>
      </c>
      <c r="G76" s="114"/>
      <c r="H76" s="155"/>
    </row>
    <row r="77" spans="2:8" hidden="1" x14ac:dyDescent="0.25">
      <c r="B77" s="145" t="s">
        <v>301</v>
      </c>
      <c r="C77" s="157">
        <f t="shared" si="0"/>
        <v>34.590473337528728</v>
      </c>
      <c r="D77" s="19">
        <v>20464</v>
      </c>
      <c r="E77" s="146">
        <v>35</v>
      </c>
      <c r="G77" s="114"/>
      <c r="H77" s="155"/>
    </row>
    <row r="78" spans="2:8" hidden="1" x14ac:dyDescent="0.25">
      <c r="B78" s="145" t="s">
        <v>302</v>
      </c>
      <c r="C78" s="157">
        <f t="shared" si="0"/>
        <v>35.878333333333337</v>
      </c>
      <c r="D78" s="19">
        <v>21527</v>
      </c>
      <c r="E78" s="146">
        <v>36</v>
      </c>
      <c r="G78" s="114"/>
      <c r="H78" s="155"/>
    </row>
    <row r="79" spans="2:8" hidden="1" x14ac:dyDescent="0.25">
      <c r="B79" s="145" t="s">
        <v>303</v>
      </c>
      <c r="C79" s="157">
        <f t="shared" si="0"/>
        <v>37.415000000000006</v>
      </c>
      <c r="D79" s="19">
        <v>22449</v>
      </c>
      <c r="E79" s="146">
        <v>36</v>
      </c>
      <c r="G79" s="114"/>
      <c r="H79" s="155"/>
    </row>
    <row r="80" spans="2:8" hidden="1" x14ac:dyDescent="0.25">
      <c r="B80" s="145" t="s">
        <v>304</v>
      </c>
      <c r="C80" s="157">
        <f t="shared" si="0"/>
        <v>39.13666666666667</v>
      </c>
      <c r="D80" s="19">
        <v>23482</v>
      </c>
      <c r="E80" s="146">
        <v>36</v>
      </c>
      <c r="G80" s="114"/>
      <c r="H80" s="155"/>
    </row>
    <row r="81" spans="2:8" hidden="1" x14ac:dyDescent="0.25">
      <c r="B81" s="145" t="s">
        <v>305</v>
      </c>
      <c r="C81" s="157">
        <f t="shared" si="0"/>
        <v>40.328715575877197</v>
      </c>
      <c r="D81" s="19">
        <v>24531</v>
      </c>
      <c r="E81" s="146">
        <v>37</v>
      </c>
      <c r="G81" s="114"/>
      <c r="H81" s="155"/>
    </row>
    <row r="82" spans="2:8" hidden="1" x14ac:dyDescent="0.25">
      <c r="B82" s="145" t="s">
        <v>306</v>
      </c>
      <c r="C82" s="157">
        <f t="shared" si="0"/>
        <v>41.562750307912665</v>
      </c>
      <c r="D82" s="19">
        <v>25621</v>
      </c>
      <c r="E82" s="146">
        <v>38</v>
      </c>
      <c r="G82" s="114"/>
      <c r="H82" s="155"/>
    </row>
    <row r="83" spans="2:8" hidden="1" x14ac:dyDescent="0.25">
      <c r="B83" s="145" t="s">
        <v>307</v>
      </c>
      <c r="C83" s="157">
        <f t="shared" si="0"/>
        <v>43.034098597568686</v>
      </c>
      <c r="D83" s="19">
        <v>26528</v>
      </c>
      <c r="E83" s="146">
        <v>38</v>
      </c>
      <c r="G83" s="114"/>
      <c r="H83" s="155"/>
    </row>
    <row r="84" spans="2:8" hidden="1" x14ac:dyDescent="0.25">
      <c r="B84" s="145" t="s">
        <v>308</v>
      </c>
      <c r="C84" s="157">
        <f t="shared" si="0"/>
        <v>44.912622654262918</v>
      </c>
      <c r="D84" s="19">
        <v>27686</v>
      </c>
      <c r="E84" s="146">
        <v>38</v>
      </c>
      <c r="G84" s="114"/>
      <c r="H84" s="155"/>
    </row>
    <row r="85" spans="2:8" hidden="1" x14ac:dyDescent="0.25">
      <c r="B85" s="145" t="s">
        <v>309</v>
      </c>
      <c r="C85" s="157">
        <f t="shared" si="0"/>
        <v>47.298899759096436</v>
      </c>
      <c r="D85" s="19">
        <v>29157</v>
      </c>
      <c r="E85" s="146">
        <v>38</v>
      </c>
      <c r="G85" s="114"/>
      <c r="H85" s="155"/>
    </row>
    <row r="86" spans="2:8" hidden="1" x14ac:dyDescent="0.25">
      <c r="B86" s="145" t="s">
        <v>310</v>
      </c>
      <c r="C86" s="157">
        <f t="shared" si="0"/>
        <v>47.964787190775802</v>
      </c>
      <c r="D86" s="19">
        <v>29954</v>
      </c>
      <c r="E86" s="146">
        <v>39</v>
      </c>
      <c r="G86" s="114"/>
      <c r="H86" s="155"/>
    </row>
    <row r="87" spans="2:8" hidden="1" x14ac:dyDescent="0.25">
      <c r="B87" s="145" t="s">
        <v>311</v>
      </c>
      <c r="C87" s="157">
        <f t="shared" si="0"/>
        <v>49.601296922663785</v>
      </c>
      <c r="D87" s="19">
        <v>30976</v>
      </c>
      <c r="E87" s="146">
        <v>39</v>
      </c>
      <c r="G87" s="114"/>
      <c r="H87" s="155"/>
    </row>
    <row r="88" spans="2:8" hidden="1" x14ac:dyDescent="0.25">
      <c r="B88" s="145" t="s">
        <v>312</v>
      </c>
      <c r="C88" s="157">
        <f t="shared" si="0"/>
        <v>51.007538658515955</v>
      </c>
      <c r="D88" s="19">
        <v>32260</v>
      </c>
      <c r="E88" s="146">
        <v>40</v>
      </c>
      <c r="G88" s="114"/>
      <c r="H88" s="155"/>
    </row>
    <row r="89" spans="2:8" hidden="1" x14ac:dyDescent="0.25">
      <c r="B89" s="145" t="s">
        <v>313</v>
      </c>
      <c r="C89" s="157">
        <f t="shared" si="0"/>
        <v>53.07092483177582</v>
      </c>
      <c r="D89" s="19">
        <v>33565</v>
      </c>
      <c r="E89" s="146">
        <v>40</v>
      </c>
      <c r="G89" s="114"/>
      <c r="H89" s="155"/>
    </row>
    <row r="90" spans="2:8" hidden="1" x14ac:dyDescent="0.25">
      <c r="B90" s="145" t="s">
        <v>314</v>
      </c>
      <c r="C90" s="157">
        <f t="shared" si="0"/>
        <v>55.265545527932687</v>
      </c>
      <c r="D90" s="19">
        <v>34953</v>
      </c>
      <c r="E90" s="146">
        <v>40</v>
      </c>
      <c r="G90" s="114"/>
      <c r="H90" s="155"/>
    </row>
    <row r="91" spans="2:8" hidden="1" x14ac:dyDescent="0.25">
      <c r="B91" s="145" t="s">
        <v>315</v>
      </c>
      <c r="C91" s="157">
        <f t="shared" si="0"/>
        <v>56.067665242225722</v>
      </c>
      <c r="D91" s="19">
        <v>36336</v>
      </c>
      <c r="E91" s="146">
        <v>42</v>
      </c>
      <c r="G91" s="114"/>
      <c r="H91" s="155"/>
    </row>
    <row r="92" spans="2:8" hidden="1" x14ac:dyDescent="0.25">
      <c r="B92" s="145" t="s">
        <v>316</v>
      </c>
      <c r="C92" s="157">
        <f t="shared" si="0"/>
        <v>57.46908622984207</v>
      </c>
      <c r="D92" s="19">
        <v>37685</v>
      </c>
      <c r="E92" s="146">
        <v>43</v>
      </c>
      <c r="G92" s="114"/>
      <c r="H92" s="155"/>
    </row>
    <row r="93" spans="2:8" hidden="1" x14ac:dyDescent="0.25">
      <c r="B93" s="145" t="s">
        <v>317</v>
      </c>
      <c r="C93" s="157">
        <f t="shared" si="0"/>
        <v>58.202242400568601</v>
      </c>
      <c r="D93" s="19">
        <v>38607</v>
      </c>
      <c r="E93" s="146">
        <v>44</v>
      </c>
      <c r="G93" s="114"/>
      <c r="H93" s="155"/>
    </row>
    <row r="94" spans="2:8" hidden="1" x14ac:dyDescent="0.25">
      <c r="B94" s="145" t="s">
        <v>318</v>
      </c>
      <c r="C94" s="157">
        <f t="shared" si="0"/>
        <v>60.408443856222902</v>
      </c>
      <c r="D94" s="19">
        <v>40971</v>
      </c>
      <c r="E94" s="146">
        <v>46</v>
      </c>
      <c r="G94" s="114"/>
      <c r="H94" s="155"/>
    </row>
    <row r="95" spans="2:8" ht="13" hidden="1" thickBot="1" x14ac:dyDescent="0.3">
      <c r="B95" s="147" t="s">
        <v>319</v>
      </c>
      <c r="C95" s="158">
        <f t="shared" si="0"/>
        <v>64.285714285714292</v>
      </c>
      <c r="D95" s="50">
        <v>45000</v>
      </c>
      <c r="E95" s="148">
        <v>49</v>
      </c>
      <c r="G95" s="114"/>
      <c r="H95" s="155"/>
    </row>
  </sheetData>
  <sheetProtection algorithmName="SHA-512" hashValue="rvOMwz4WRm4h+KZZ6I76fdAS1nkuyVP6HOOgYWjx2o5bhHgl8a1GJtZCtUKNVhHJOcyPmCIKeq6PN4H2D6d/uQ==" saltValue="QPuOHUc0xtRIm5WYprjQAg==" spinCount="100000" sheet="1" objects="1" scenarios="1"/>
  <mergeCells count="13">
    <mergeCell ref="B41:D41"/>
    <mergeCell ref="B46:D46"/>
    <mergeCell ref="B6:D6"/>
    <mergeCell ref="E6:F6"/>
    <mergeCell ref="G6:H6"/>
    <mergeCell ref="G8:H8"/>
    <mergeCell ref="I8:J8"/>
    <mergeCell ref="I7:J7"/>
    <mergeCell ref="B1:P1"/>
    <mergeCell ref="A2:R2"/>
    <mergeCell ref="A8:A9"/>
    <mergeCell ref="A6:A7"/>
    <mergeCell ref="B8:C8"/>
  </mergeCells>
  <conditionalFormatting sqref="G12">
    <cfRule type="containsText" dxfId="16" priority="2" operator="containsText" text="Qutside DP-range">
      <formula>NOT(ISERROR(SEARCH("Qutside DP-range",G12)))</formula>
    </cfRule>
    <cfRule type="cellIs" dxfId="15" priority="3" operator="equal">
      <formula>"Outside DP-range"</formula>
    </cfRule>
    <cfRule type="cellIs" dxfId="14" priority="4" operator="equal">
      <formula>"Outside DP-range"</formula>
    </cfRule>
    <cfRule type="cellIs" dxfId="13" priority="6" operator="equal">
      <formula>"Under DP område"</formula>
    </cfRule>
  </conditionalFormatting>
  <conditionalFormatting sqref="F12">
    <cfRule type="cellIs" dxfId="12" priority="5" operator="lessThan">
      <formula>$C$36</formula>
    </cfRule>
  </conditionalFormatting>
  <conditionalFormatting sqref="D12">
    <cfRule type="cellIs" dxfId="11" priority="1" operator="lessThan">
      <formula>$C$44</formula>
    </cfRule>
  </conditionalFormatting>
  <pageMargins left="0.19685039370078741" right="0.19685039370078741" top="0.59055118110236227" bottom="0.19685039370078741" header="0.51181102362204722" footer="0.51181102362204722"/>
  <pageSetup paperSize="9" scale="9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showGridLines="0" zoomScaleNormal="100" workbookViewId="0">
      <selection activeCell="B28" sqref="B28"/>
    </sheetView>
  </sheetViews>
  <sheetFormatPr baseColWidth="10" defaultColWidth="8.81640625" defaultRowHeight="12.5" x14ac:dyDescent="0.25"/>
  <cols>
    <col min="1" max="1" width="23.7265625" customWidth="1"/>
    <col min="2" max="2" width="14.26953125" customWidth="1"/>
    <col min="3" max="3" width="15.7265625" customWidth="1"/>
    <col min="4" max="5" width="19.7265625" customWidth="1"/>
    <col min="6" max="6" width="10.7265625" customWidth="1"/>
    <col min="7" max="7" width="7.1796875" customWidth="1"/>
    <col min="8" max="8" width="10.7265625" customWidth="1"/>
    <col min="9" max="9" width="20.453125" bestFit="1" customWidth="1"/>
    <col min="13" max="14" width="20.26953125" bestFit="1" customWidth="1"/>
  </cols>
  <sheetData>
    <row r="1" spans="1:10" ht="20.5" thickTop="1" x14ac:dyDescent="0.4">
      <c r="A1" s="278" t="s">
        <v>368</v>
      </c>
      <c r="B1" s="279"/>
      <c r="C1" s="279"/>
      <c r="D1" s="279"/>
      <c r="E1" s="279"/>
      <c r="F1" s="279"/>
      <c r="G1" s="279"/>
      <c r="H1" s="279"/>
      <c r="I1" s="315"/>
      <c r="J1" s="1"/>
    </row>
    <row r="2" spans="1:10" ht="20.5" thickBot="1" x14ac:dyDescent="0.45">
      <c r="A2" s="280" t="s">
        <v>369</v>
      </c>
      <c r="B2" s="281"/>
      <c r="C2" s="281"/>
      <c r="D2" s="281"/>
      <c r="E2" s="281"/>
      <c r="F2" s="281"/>
      <c r="G2" s="281"/>
      <c r="H2" s="281"/>
      <c r="I2" s="282"/>
      <c r="J2" s="1"/>
    </row>
    <row r="3" spans="1:10" ht="13.5" thickTop="1" x14ac:dyDescent="0.3">
      <c r="A3" s="6"/>
      <c r="B3" s="21"/>
      <c r="C3" s="21"/>
      <c r="D3" s="7"/>
      <c r="E3" s="7"/>
      <c r="F3" s="7"/>
      <c r="G3" s="7"/>
      <c r="H3" s="7"/>
      <c r="I3" s="8"/>
    </row>
    <row r="4" spans="1:10" ht="13" x14ac:dyDescent="0.3">
      <c r="A4" s="10"/>
      <c r="B4" s="5" t="s">
        <v>1</v>
      </c>
      <c r="C4" s="2"/>
      <c r="D4" s="2"/>
      <c r="E4" s="2"/>
      <c r="F4" s="2"/>
      <c r="G4" s="2"/>
      <c r="H4" s="2"/>
      <c r="I4" s="9"/>
    </row>
    <row r="5" spans="1:10" ht="13" x14ac:dyDescent="0.3">
      <c r="A5" s="34" t="s">
        <v>371</v>
      </c>
      <c r="B5" s="199">
        <v>20</v>
      </c>
      <c r="C5" s="12" t="s">
        <v>252</v>
      </c>
      <c r="D5" s="2"/>
      <c r="E5" s="5" t="s">
        <v>1</v>
      </c>
      <c r="F5" s="2"/>
      <c r="G5" s="2"/>
      <c r="H5" s="2"/>
      <c r="I5" s="9"/>
    </row>
    <row r="6" spans="1:10" ht="13" x14ac:dyDescent="0.3">
      <c r="A6" s="34" t="s">
        <v>84</v>
      </c>
      <c r="B6" s="199">
        <v>2</v>
      </c>
      <c r="C6" s="12" t="s">
        <v>372</v>
      </c>
      <c r="D6" s="221" t="s">
        <v>5</v>
      </c>
      <c r="E6" s="199">
        <v>50</v>
      </c>
      <c r="F6" s="12" t="s">
        <v>370</v>
      </c>
      <c r="G6" s="2"/>
      <c r="H6" s="2"/>
      <c r="I6" s="9"/>
    </row>
    <row r="7" spans="1:10" ht="13" x14ac:dyDescent="0.3">
      <c r="A7" s="10"/>
      <c r="B7" s="2"/>
      <c r="C7" s="2"/>
      <c r="D7" s="2"/>
      <c r="E7" s="2"/>
      <c r="F7" s="11"/>
      <c r="G7" s="2"/>
      <c r="H7" s="2"/>
      <c r="I7" s="9"/>
    </row>
    <row r="8" spans="1:10" x14ac:dyDescent="0.25">
      <c r="A8" s="10"/>
      <c r="B8" s="2"/>
      <c r="C8" s="2"/>
      <c r="D8" s="2"/>
      <c r="E8" s="2"/>
      <c r="F8" s="2"/>
      <c r="G8" s="2"/>
      <c r="H8" s="2"/>
      <c r="I8" s="9"/>
    </row>
    <row r="9" spans="1:10" x14ac:dyDescent="0.25">
      <c r="A9" s="10"/>
      <c r="B9" s="2"/>
      <c r="C9" s="2"/>
      <c r="D9" s="2"/>
      <c r="E9" s="2"/>
      <c r="F9" s="2"/>
      <c r="G9" s="2"/>
      <c r="H9" s="2"/>
      <c r="I9" s="9"/>
    </row>
    <row r="10" spans="1:10" x14ac:dyDescent="0.25">
      <c r="A10" s="10"/>
      <c r="B10" s="2"/>
      <c r="C10" s="2"/>
      <c r="D10" s="2"/>
      <c r="E10" s="2"/>
      <c r="F10" s="2"/>
      <c r="G10" s="2"/>
      <c r="H10" s="2"/>
      <c r="I10" s="9"/>
    </row>
    <row r="11" spans="1:10" x14ac:dyDescent="0.25">
      <c r="A11" s="10"/>
      <c r="B11" s="2"/>
      <c r="C11" s="2"/>
      <c r="D11" s="2"/>
      <c r="E11" s="2"/>
      <c r="F11" s="2"/>
      <c r="G11" s="2"/>
      <c r="H11" s="2"/>
      <c r="I11" s="9"/>
    </row>
    <row r="12" spans="1:10" x14ac:dyDescent="0.25">
      <c r="A12" s="10"/>
      <c r="B12" s="2"/>
      <c r="C12" s="2"/>
      <c r="D12" s="2"/>
      <c r="E12" s="2"/>
      <c r="F12" s="2"/>
      <c r="G12" s="2"/>
      <c r="H12" s="2"/>
      <c r="I12" s="9"/>
    </row>
    <row r="13" spans="1:10" x14ac:dyDescent="0.25">
      <c r="A13" s="10"/>
      <c r="B13" s="2"/>
      <c r="C13" s="2"/>
      <c r="D13" s="2"/>
      <c r="E13" s="2"/>
      <c r="F13" s="2"/>
      <c r="G13" s="2"/>
      <c r="H13" s="2"/>
      <c r="I13" s="9"/>
    </row>
    <row r="14" spans="1:10" ht="13" thickBot="1" x14ac:dyDescent="0.3">
      <c r="A14" s="10"/>
      <c r="B14" s="2"/>
      <c r="C14" s="2"/>
      <c r="D14" s="2"/>
      <c r="E14" s="2"/>
      <c r="F14" s="2"/>
      <c r="G14" s="2"/>
      <c r="H14" s="2"/>
      <c r="I14" s="9"/>
    </row>
    <row r="15" spans="1:10" ht="14" thickTop="1" thickBot="1" x14ac:dyDescent="0.35">
      <c r="A15" s="10"/>
      <c r="B15" s="2"/>
      <c r="C15" s="2"/>
      <c r="D15" s="222" t="s">
        <v>372</v>
      </c>
      <c r="E15" s="223" t="s">
        <v>375</v>
      </c>
      <c r="F15" s="2"/>
      <c r="G15" s="2"/>
      <c r="H15" s="2"/>
      <c r="I15" s="9"/>
    </row>
    <row r="16" spans="1:10" ht="13.5" thickTop="1" x14ac:dyDescent="0.3">
      <c r="A16" s="275" t="s">
        <v>0</v>
      </c>
      <c r="B16" s="284" t="s">
        <v>3</v>
      </c>
      <c r="C16" s="314"/>
      <c r="D16" s="224" t="s">
        <v>338</v>
      </c>
      <c r="E16" s="225" t="s">
        <v>338</v>
      </c>
      <c r="F16" s="2"/>
      <c r="G16" s="2"/>
      <c r="H16" s="2"/>
      <c r="I16" s="9"/>
    </row>
    <row r="17" spans="1:9" ht="13.5" thickBot="1" x14ac:dyDescent="0.35">
      <c r="A17" s="283"/>
      <c r="B17" s="201" t="s">
        <v>373</v>
      </c>
      <c r="C17" s="226" t="s">
        <v>374</v>
      </c>
      <c r="D17" s="227" t="s">
        <v>373</v>
      </c>
      <c r="E17" s="228" t="s">
        <v>373</v>
      </c>
      <c r="F17" s="2"/>
      <c r="G17" s="2"/>
      <c r="H17" s="2"/>
      <c r="I17" s="9"/>
    </row>
    <row r="18" spans="1:9" ht="13" x14ac:dyDescent="0.3">
      <c r="A18" s="253" t="s">
        <v>52</v>
      </c>
      <c r="B18" s="254" t="s">
        <v>61</v>
      </c>
      <c r="C18" s="254" t="s">
        <v>25</v>
      </c>
      <c r="D18" s="255">
        <f>IF($B$5&gt;400,"NOT POSSIBLE",IF($B$6&lt;0.5,"NOT POSSIBLE",(IF($B$6&gt;4,"NOT POSSIBLE",IF($B$5&gt;B41,C41,(1000*D41*(($B$5/100)^0.5)))))))</f>
        <v>190.8562</v>
      </c>
      <c r="E18" s="256">
        <f>IF($E$6&gt;100,"NOT POSSIBLE",(D18*$E$6/100))</f>
        <v>95.428100000000001</v>
      </c>
      <c r="F18" s="2"/>
      <c r="G18" s="2"/>
      <c r="H18" s="2"/>
      <c r="I18" s="9"/>
    </row>
    <row r="19" spans="1:9" ht="13" x14ac:dyDescent="0.3">
      <c r="A19" s="214" t="s">
        <v>367</v>
      </c>
      <c r="B19" s="215" t="s">
        <v>64</v>
      </c>
      <c r="C19" s="215" t="s">
        <v>12</v>
      </c>
      <c r="D19" s="236">
        <f>IF($B$5&gt;400,"NOT POSSIBLE",IF($B$6&lt;0.5,"NOT POSSIBLE",(IF($B$6&gt;4,"NOT POSSIBLE",IF($B$5&gt;B45,C45,(1000*D45*(($B$5/100)^0.5)))))))</f>
        <v>677.2654</v>
      </c>
      <c r="E19" s="55">
        <f>IF($E$6&gt;100,"NOT POSSIBLE",(D19*$E$6/100))</f>
        <v>338.63269999999994</v>
      </c>
      <c r="F19" s="2"/>
      <c r="G19" s="2"/>
      <c r="H19" s="2"/>
      <c r="I19" s="9"/>
    </row>
    <row r="20" spans="1:9" ht="13.5" thickBot="1" x14ac:dyDescent="0.35">
      <c r="A20" s="218" t="s">
        <v>426</v>
      </c>
      <c r="B20" s="210" t="s">
        <v>80</v>
      </c>
      <c r="C20" s="210" t="s">
        <v>31</v>
      </c>
      <c r="D20" s="252">
        <f>IF($B$5&gt;400,"NICHT MÖGLICH",IF($B$6&lt;0.5,"NICHT MÖGLICH",(IF($B$6&gt;4,"NICHT MÖGLICH",IF($B$5&gt;B46,C46,(1000*D46*(($B$5/100)^0.5)))))))</f>
        <v>1838.9999999995944</v>
      </c>
      <c r="E20" s="56">
        <f>IF($E$6&gt;100,"NICHT MÔGLICH",(D20*$E$6/100))</f>
        <v>919.49999999979718</v>
      </c>
      <c r="F20" s="2"/>
      <c r="G20" s="2"/>
      <c r="H20" s="2"/>
      <c r="I20" s="9"/>
    </row>
    <row r="21" spans="1:9" ht="13" thickTop="1" x14ac:dyDescent="0.25">
      <c r="A21" s="10"/>
      <c r="B21" s="2"/>
      <c r="C21" s="2"/>
      <c r="D21" s="233" t="s">
        <v>376</v>
      </c>
      <c r="E21" s="2"/>
      <c r="F21" s="2"/>
      <c r="G21" s="2"/>
      <c r="H21" s="2"/>
      <c r="I21" s="9"/>
    </row>
    <row r="22" spans="1:9" x14ac:dyDescent="0.25">
      <c r="A22" s="10"/>
      <c r="B22" s="2"/>
      <c r="C22" s="2"/>
      <c r="D22" s="234" t="s">
        <v>377</v>
      </c>
      <c r="E22" s="2"/>
      <c r="F22" s="2"/>
      <c r="G22" s="2"/>
      <c r="H22" s="2"/>
      <c r="I22" s="9"/>
    </row>
    <row r="23" spans="1:9" ht="13" x14ac:dyDescent="0.3">
      <c r="A23" s="10"/>
      <c r="B23" s="2"/>
      <c r="C23" s="2"/>
      <c r="D23" s="17"/>
      <c r="E23" s="2"/>
      <c r="F23" s="2"/>
      <c r="G23" s="2"/>
      <c r="H23" s="2"/>
      <c r="I23" s="9"/>
    </row>
    <row r="24" spans="1:9" x14ac:dyDescent="0.25">
      <c r="A24" s="10"/>
      <c r="B24" s="2"/>
      <c r="C24" s="2"/>
      <c r="D24" s="2"/>
      <c r="E24" s="2"/>
      <c r="F24" s="2"/>
      <c r="G24" s="2"/>
      <c r="H24" s="2"/>
      <c r="I24" s="9"/>
    </row>
    <row r="25" spans="1:9" x14ac:dyDescent="0.25">
      <c r="A25" s="10"/>
      <c r="B25" s="2"/>
      <c r="C25" s="2"/>
      <c r="D25" s="2"/>
      <c r="E25" s="2"/>
      <c r="F25" s="2"/>
      <c r="G25" s="2"/>
      <c r="H25" s="2"/>
      <c r="I25" s="9"/>
    </row>
    <row r="26" spans="1:9" x14ac:dyDescent="0.25">
      <c r="A26" s="10"/>
      <c r="B26" s="2"/>
      <c r="C26" s="2"/>
      <c r="D26" s="2"/>
      <c r="E26" s="2"/>
      <c r="F26" s="2"/>
      <c r="G26" s="2"/>
      <c r="H26" s="2"/>
      <c r="I26" s="9"/>
    </row>
    <row r="27" spans="1:9" x14ac:dyDescent="0.25">
      <c r="A27" s="10"/>
      <c r="B27" s="2"/>
      <c r="C27" s="2"/>
      <c r="D27" s="2"/>
      <c r="E27" s="2"/>
      <c r="F27" s="2"/>
      <c r="G27" s="2"/>
      <c r="H27" s="2"/>
      <c r="I27" s="9"/>
    </row>
    <row r="28" spans="1:9" x14ac:dyDescent="0.25">
      <c r="A28" s="10"/>
      <c r="B28" s="2"/>
      <c r="C28" s="2"/>
      <c r="D28" s="2"/>
      <c r="E28" s="2"/>
      <c r="F28" s="2"/>
      <c r="G28" s="2"/>
      <c r="H28" s="2"/>
      <c r="I28" s="9"/>
    </row>
    <row r="29" spans="1:9" x14ac:dyDescent="0.25">
      <c r="A29" s="10"/>
      <c r="B29" s="2"/>
      <c r="C29" s="2"/>
      <c r="D29" s="2"/>
      <c r="E29" s="2"/>
      <c r="F29" s="2"/>
      <c r="G29" s="2"/>
      <c r="H29" s="2"/>
      <c r="I29" s="9"/>
    </row>
    <row r="30" spans="1:9" x14ac:dyDescent="0.25">
      <c r="A30" s="10"/>
      <c r="B30" s="2"/>
      <c r="C30" s="2"/>
      <c r="D30" s="2"/>
      <c r="E30" s="2"/>
      <c r="F30" s="2"/>
      <c r="G30" s="2"/>
      <c r="H30" s="2"/>
      <c r="I30" s="9"/>
    </row>
    <row r="31" spans="1:9" x14ac:dyDescent="0.25">
      <c r="A31" s="10"/>
      <c r="B31" s="2"/>
      <c r="C31" s="2"/>
      <c r="D31" s="2"/>
      <c r="E31" s="2"/>
      <c r="F31" s="2"/>
      <c r="G31" s="2"/>
      <c r="H31" s="2"/>
      <c r="I31" s="9"/>
    </row>
    <row r="32" spans="1:9" x14ac:dyDescent="0.25">
      <c r="A32" s="10"/>
      <c r="B32" s="2"/>
      <c r="C32" s="2"/>
      <c r="D32" s="2"/>
      <c r="E32" s="2"/>
      <c r="F32" s="2"/>
      <c r="G32" s="2"/>
      <c r="H32" s="2"/>
      <c r="I32" s="9"/>
    </row>
    <row r="33" spans="1:9" x14ac:dyDescent="0.25">
      <c r="A33" s="10"/>
      <c r="B33" s="2"/>
      <c r="C33" s="2"/>
      <c r="D33" s="2"/>
      <c r="E33" s="2"/>
      <c r="F33" s="2"/>
      <c r="G33" s="2"/>
      <c r="H33" s="2"/>
      <c r="I33" s="9"/>
    </row>
    <row r="34" spans="1:9" x14ac:dyDescent="0.25">
      <c r="A34" s="10"/>
      <c r="B34" s="2"/>
      <c r="C34" s="2"/>
      <c r="D34" s="13"/>
      <c r="E34" s="2"/>
      <c r="F34" s="2"/>
      <c r="G34" s="2"/>
      <c r="H34" s="2"/>
      <c r="I34" s="9"/>
    </row>
    <row r="35" spans="1:9" ht="13" thickBot="1" x14ac:dyDescent="0.3">
      <c r="A35" s="14" t="s">
        <v>6</v>
      </c>
      <c r="B35" s="15"/>
      <c r="C35" s="15"/>
      <c r="D35" s="15"/>
      <c r="E35" s="15"/>
      <c r="F35" s="15"/>
      <c r="G35" s="15"/>
      <c r="H35" s="15"/>
      <c r="I35" s="16"/>
    </row>
    <row r="36" spans="1:9" ht="10.5" customHeight="1" thickTop="1" x14ac:dyDescent="0.25"/>
    <row r="37" spans="1:9" ht="13" hidden="1" thickTop="1" x14ac:dyDescent="0.25">
      <c r="A37" s="40" t="s">
        <v>59</v>
      </c>
      <c r="B37" s="206" t="s">
        <v>85</v>
      </c>
      <c r="C37" s="229" t="s">
        <v>86</v>
      </c>
      <c r="D37" s="230" t="s">
        <v>87</v>
      </c>
      <c r="E37" s="231" t="s">
        <v>5</v>
      </c>
      <c r="F37" s="230" t="s">
        <v>58</v>
      </c>
    </row>
    <row r="38" spans="1:9" hidden="1" x14ac:dyDescent="0.25">
      <c r="A38" s="213" t="s">
        <v>49</v>
      </c>
      <c r="B38" s="35">
        <f>-0.0158*$B$6^3+0.1133*$B$6^2+0.2063*$B$6+14.179</f>
        <v>14.9184</v>
      </c>
      <c r="C38" s="43">
        <f>0.071*$B$6^3-0.4496*$B$6^2+49.322*$B$6+5.3216</f>
        <v>102.73520000000001</v>
      </c>
      <c r="D38" s="45">
        <f>(C38/1000)/((B38/100)^0.5)</f>
        <v>0.26598561326702708</v>
      </c>
      <c r="E38" s="38">
        <v>0.6</v>
      </c>
      <c r="F38" s="3">
        <v>550</v>
      </c>
    </row>
    <row r="39" spans="1:9" hidden="1" x14ac:dyDescent="0.25">
      <c r="A39" s="212" t="s">
        <v>50</v>
      </c>
      <c r="B39" s="35">
        <f>-0.0162*$B$6^3+0.0962*$B$6^2+0.6256*$B$6+14.194</f>
        <v>15.700400000000002</v>
      </c>
      <c r="C39" s="43">
        <f>0.1879*$B$6^3-1.3575*$B$6^2+92.445*$B$6+9.893</f>
        <v>190.8562</v>
      </c>
      <c r="D39" s="45">
        <f t="shared" ref="D39:D47" si="0">(C39/1000)/((B39/100)^0.5)</f>
        <v>0.48167145983093418</v>
      </c>
      <c r="E39" s="38">
        <v>1</v>
      </c>
      <c r="F39" s="3">
        <v>956</v>
      </c>
    </row>
    <row r="40" spans="1:9" hidden="1" x14ac:dyDescent="0.25">
      <c r="A40" s="213" t="s">
        <v>51</v>
      </c>
      <c r="B40" s="35">
        <f>-0.0158*$B$6^3+0.1133*$B$6^2+0.2063*$B$6+14.179</f>
        <v>14.9184</v>
      </c>
      <c r="C40" s="43">
        <f>0.071*$B$6^3-0.4496*$B$6^2+49.322*$B$6+5.3216</f>
        <v>102.73520000000001</v>
      </c>
      <c r="D40" s="45">
        <f t="shared" si="0"/>
        <v>0.26598561326702708</v>
      </c>
      <c r="E40" s="38">
        <v>2</v>
      </c>
      <c r="F40" s="3">
        <v>1971</v>
      </c>
    </row>
    <row r="41" spans="1:9" hidden="1" x14ac:dyDescent="0.25">
      <c r="A41" s="212" t="s">
        <v>52</v>
      </c>
      <c r="B41" s="35">
        <f>-0.0162*$B$6^3+0.0962*$B$6^2+0.6256*$B$6+14.194</f>
        <v>15.700400000000002</v>
      </c>
      <c r="C41" s="43">
        <f>0.1879*$B$6^3-1.3575*$B$6^2+92.445*$B$6+9.893</f>
        <v>190.8562</v>
      </c>
      <c r="D41" s="45">
        <f t="shared" si="0"/>
        <v>0.48167145983093418</v>
      </c>
      <c r="E41" s="38">
        <v>3</v>
      </c>
      <c r="F41" s="3">
        <v>2986</v>
      </c>
    </row>
    <row r="42" spans="1:9" ht="13" hidden="1" thickBot="1" x14ac:dyDescent="0.3">
      <c r="A42" s="213" t="s">
        <v>53</v>
      </c>
      <c r="B42" s="35">
        <f>0.0264*$B$6^3-0.2572*$B$6^2+1.7436*$B$6+13.957</f>
        <v>16.6266</v>
      </c>
      <c r="C42" s="43">
        <f>0.1879*$B$6^3-1.3575*$B$6^2+142.44*$B$6+14.893</f>
        <v>295.84619999999995</v>
      </c>
      <c r="D42" s="45">
        <f t="shared" si="0"/>
        <v>0.72554486203156043</v>
      </c>
      <c r="E42" s="39">
        <v>4</v>
      </c>
      <c r="F42" s="4">
        <v>4001</v>
      </c>
    </row>
    <row r="43" spans="1:9" ht="13" hidden="1" thickTop="1" x14ac:dyDescent="0.25">
      <c r="A43" s="212" t="s">
        <v>54</v>
      </c>
      <c r="B43" s="35">
        <f>0.0264*$B$6^3-0.2572*$B$6^2+1.7436*$B$6+13.957</f>
        <v>16.6266</v>
      </c>
      <c r="C43" s="43">
        <f>0.1879*$B$6^3-1.3575*$B$6^2+142.44*$B$6+14.893</f>
        <v>295.84619999999995</v>
      </c>
      <c r="D43" s="45">
        <f t="shared" si="0"/>
        <v>0.72554486203156043</v>
      </c>
    </row>
    <row r="44" spans="1:9" hidden="1" x14ac:dyDescent="0.25">
      <c r="A44" s="213" t="s">
        <v>55</v>
      </c>
      <c r="B44" s="35">
        <f>-0.0252*$B$6^3-0.014*$B$6^2+2.0359*$B$6+14.294</f>
        <v>18.1082</v>
      </c>
      <c r="C44" s="43">
        <f>0.0799*$B$6^3-0.6278*$B$6^2+245.5*$B$6+12.96</f>
        <v>502.08799999999997</v>
      </c>
      <c r="D44" s="45">
        <f t="shared" si="0"/>
        <v>1.1798918479152967</v>
      </c>
    </row>
    <row r="45" spans="1:9" hidden="1" x14ac:dyDescent="0.25">
      <c r="A45" s="212" t="s">
        <v>56</v>
      </c>
      <c r="B45" s="35">
        <f>-0.003*$B$6^3-0.2956*$B$6^2+3.0654*$B$6+14.256</f>
        <v>19.180399999999999</v>
      </c>
      <c r="C45" s="43">
        <f>-0.0681*$B$6^3+0.4158*$B$6^2+325.8*$B$6+24.547</f>
        <v>677.2654</v>
      </c>
      <c r="D45" s="45">
        <f t="shared" si="0"/>
        <v>1.5464292623047264</v>
      </c>
    </row>
    <row r="46" spans="1:9" hidden="1" x14ac:dyDescent="0.25">
      <c r="A46" s="207" t="s">
        <v>78</v>
      </c>
      <c r="B46" s="35">
        <f>0.1565*$B$6^3-0.4391*$B$6^2+0.7641*$B$6+16.949</f>
        <v>17.972800000000003</v>
      </c>
      <c r="C46" s="43">
        <f>-0.0000000000007*$B$6^3-0.0000000001*$B$6^2+885*$B$6+69</f>
        <v>1838.9999999995944</v>
      </c>
      <c r="D46" s="45">
        <f t="shared" si="0"/>
        <v>4.337843289365086</v>
      </c>
    </row>
    <row r="47" spans="1:9" ht="13" hidden="1" thickBot="1" x14ac:dyDescent="0.3">
      <c r="A47" s="208" t="s">
        <v>79</v>
      </c>
      <c r="B47" s="232">
        <f>0.3192*$B$6^3-1.0077*$B$6^2+1.6227*$B$6+17.201</f>
        <v>18.969200000000001</v>
      </c>
      <c r="C47" s="44">
        <f>-0.0000000003*$B$6^2+1015*$B$6-59</f>
        <v>1970.9999999987999</v>
      </c>
      <c r="D47" s="46">
        <f t="shared" si="0"/>
        <v>4.5254536015319715</v>
      </c>
    </row>
    <row r="48" spans="1:9" ht="13" hidden="1" thickTop="1" x14ac:dyDescent="0.25"/>
    <row r="49" hidden="1" x14ac:dyDescent="0.25"/>
    <row r="50" hidden="1" x14ac:dyDescent="0.25"/>
    <row r="51" hidden="1" x14ac:dyDescent="0.25"/>
    <row r="52" hidden="1" x14ac:dyDescent="0.25"/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2" hidden="1" x14ac:dyDescent="0.25"/>
    <row r="63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</sheetData>
  <sheetProtection algorithmName="SHA-512" hashValue="WDsGi7ndMWHzyGW2x0eeTuU3i1qECXAPR4FcGESNF4FLMvQLrjfZVz/7u5TRBQ450In7ccbObXndG8FECDatPw==" saltValue="Bqps5wmr4imxWu/Nr1zp2w==" spinCount="100000" sheet="1" objects="1" scenarios="1"/>
  <mergeCells count="4">
    <mergeCell ref="A2:I2"/>
    <mergeCell ref="A16:A17"/>
    <mergeCell ref="B16:C16"/>
    <mergeCell ref="A1:I1"/>
  </mergeCells>
  <conditionalFormatting sqref="D22">
    <cfRule type="cellIs" dxfId="10" priority="8" operator="equal">
      <formula>"Outside DP-range"</formula>
    </cfRule>
    <cfRule type="cellIs" dxfId="9" priority="9" operator="equal">
      <formula>"Under DP område"</formula>
    </cfRule>
  </conditionalFormatting>
  <conditionalFormatting sqref="D18">
    <cfRule type="cellIs" dxfId="8" priority="7" operator="lessThan">
      <formula>$C$41</formula>
    </cfRule>
  </conditionalFormatting>
  <conditionalFormatting sqref="D19">
    <cfRule type="cellIs" dxfId="7" priority="6" operator="lessThan">
      <formula>$C$45</formula>
    </cfRule>
  </conditionalFormatting>
  <conditionalFormatting sqref="D20">
    <cfRule type="cellIs" dxfId="6" priority="1" operator="lessThan">
      <formula>$C$46</formula>
    </cfRule>
    <cfRule type="cellIs" dxfId="5" priority="3" operator="lessThan">
      <formula>$C$44</formula>
    </cfRule>
  </conditionalFormatting>
  <conditionalFormatting sqref="D20">
    <cfRule type="cellIs" dxfId="4" priority="2" operator="lessThan">
      <formula>$C$45</formula>
    </cfRule>
  </conditionalFormatting>
  <pageMargins left="0.78740157480314965" right="0.39370078740157483" top="0.98425196850393704" bottom="0.98425196850393704" header="0.51181102362204722" footer="0.51181102362204722"/>
  <pageSetup paperSize="9" scale="105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8"/>
  <sheetViews>
    <sheetView showGridLines="0" zoomScale="90" zoomScaleNormal="90" workbookViewId="0">
      <selection activeCell="B30" sqref="B30"/>
    </sheetView>
  </sheetViews>
  <sheetFormatPr baseColWidth="10" defaultColWidth="8.81640625" defaultRowHeight="12.5" x14ac:dyDescent="0.25"/>
  <cols>
    <col min="1" max="1" width="23.7265625" customWidth="1"/>
    <col min="2" max="2" width="14.26953125" customWidth="1"/>
    <col min="3" max="3" width="17.81640625" bestFit="1" customWidth="1"/>
    <col min="4" max="4" width="15.7265625" customWidth="1"/>
    <col min="5" max="8" width="10.7265625" customWidth="1"/>
    <col min="9" max="9" width="20.453125" bestFit="1" customWidth="1"/>
    <col min="13" max="14" width="20.26953125" bestFit="1" customWidth="1"/>
  </cols>
  <sheetData>
    <row r="1" spans="1:10" ht="20.5" thickTop="1" x14ac:dyDescent="0.4">
      <c r="A1" s="278" t="s">
        <v>429</v>
      </c>
      <c r="B1" s="279"/>
      <c r="C1" s="279"/>
      <c r="D1" s="279"/>
      <c r="E1" s="279"/>
      <c r="F1" s="279"/>
      <c r="G1" s="279"/>
      <c r="H1" s="279"/>
      <c r="I1" s="142"/>
      <c r="J1" s="1"/>
    </row>
    <row r="2" spans="1:10" ht="20.5" thickBot="1" x14ac:dyDescent="0.45">
      <c r="A2" s="280" t="s">
        <v>430</v>
      </c>
      <c r="B2" s="281"/>
      <c r="C2" s="281"/>
      <c r="D2" s="281"/>
      <c r="E2" s="281"/>
      <c r="F2" s="281"/>
      <c r="G2" s="281"/>
      <c r="H2" s="281"/>
      <c r="I2" s="29"/>
      <c r="J2" s="1"/>
    </row>
    <row r="3" spans="1:10" ht="13.5" thickTop="1" x14ac:dyDescent="0.3">
      <c r="A3" s="6"/>
      <c r="B3" s="21"/>
      <c r="C3" s="21"/>
      <c r="D3" s="7"/>
      <c r="E3" s="7"/>
      <c r="F3" s="7"/>
      <c r="G3" s="7"/>
      <c r="H3" s="7"/>
      <c r="I3" s="8"/>
    </row>
    <row r="4" spans="1:10" ht="13" x14ac:dyDescent="0.3">
      <c r="A4" s="10"/>
      <c r="B4" s="5" t="s">
        <v>1</v>
      </c>
      <c r="C4" s="2"/>
      <c r="D4" s="2"/>
      <c r="E4" s="2"/>
      <c r="F4" s="2"/>
      <c r="G4" s="2"/>
      <c r="H4" s="2"/>
      <c r="I4" s="9"/>
    </row>
    <row r="5" spans="1:10" ht="13" x14ac:dyDescent="0.3">
      <c r="A5" s="34" t="s">
        <v>394</v>
      </c>
      <c r="B5" s="199">
        <v>100</v>
      </c>
      <c r="C5" s="12" t="s">
        <v>252</v>
      </c>
      <c r="D5" s="2"/>
      <c r="E5" s="2"/>
      <c r="F5" s="2"/>
      <c r="G5" s="2"/>
      <c r="H5" s="2"/>
      <c r="I5" s="9"/>
    </row>
    <row r="6" spans="1:10" ht="13" x14ac:dyDescent="0.3">
      <c r="A6" s="34"/>
      <c r="B6" s="2"/>
      <c r="C6" s="12"/>
      <c r="D6" s="2"/>
      <c r="E6" s="2"/>
      <c r="F6" s="11"/>
      <c r="G6" s="2"/>
      <c r="H6" s="2"/>
      <c r="I6" s="9"/>
    </row>
    <row r="7" spans="1:10" ht="13" x14ac:dyDescent="0.3">
      <c r="A7" s="10"/>
      <c r="B7" s="2"/>
      <c r="C7" s="2"/>
      <c r="D7" s="2"/>
      <c r="E7" s="2"/>
      <c r="F7" s="11"/>
      <c r="G7" s="2"/>
      <c r="H7" s="2"/>
      <c r="I7" s="9"/>
    </row>
    <row r="8" spans="1:10" ht="13" thickBot="1" x14ac:dyDescent="0.3">
      <c r="A8" s="10"/>
      <c r="B8" s="2"/>
      <c r="C8" s="2"/>
      <c r="D8" s="2"/>
      <c r="E8" s="2"/>
      <c r="F8" s="2"/>
      <c r="G8" s="2"/>
      <c r="H8" s="2"/>
      <c r="I8" s="9"/>
    </row>
    <row r="9" spans="1:10" ht="13.5" thickTop="1" x14ac:dyDescent="0.3">
      <c r="A9" s="286" t="s">
        <v>0</v>
      </c>
      <c r="B9" s="237" t="s">
        <v>395</v>
      </c>
      <c r="C9" s="238" t="s">
        <v>338</v>
      </c>
      <c r="D9" s="2"/>
      <c r="E9" s="2"/>
      <c r="F9" s="2"/>
      <c r="G9" s="2"/>
      <c r="H9" s="2"/>
      <c r="I9" s="9"/>
    </row>
    <row r="10" spans="1:10" ht="13" x14ac:dyDescent="0.3">
      <c r="A10" s="287"/>
      <c r="B10" s="119" t="s">
        <v>386</v>
      </c>
      <c r="C10" s="211" t="s">
        <v>2</v>
      </c>
      <c r="D10" s="2"/>
      <c r="E10" s="2"/>
      <c r="F10" s="2"/>
      <c r="G10" s="2"/>
      <c r="H10" s="2"/>
      <c r="I10" s="9"/>
    </row>
    <row r="11" spans="1:10" ht="13" x14ac:dyDescent="0.3">
      <c r="A11" s="214" t="s">
        <v>387</v>
      </c>
      <c r="B11" s="157">
        <v>0.26</v>
      </c>
      <c r="C11" s="55">
        <f>($B$5^0.5*B11)*100</f>
        <v>260</v>
      </c>
      <c r="D11" s="2"/>
      <c r="E11" s="2"/>
      <c r="F11" s="2"/>
      <c r="G11" s="2"/>
      <c r="H11" s="2"/>
      <c r="I11" s="9"/>
    </row>
    <row r="12" spans="1:10" ht="13" x14ac:dyDescent="0.3">
      <c r="A12" s="239" t="s">
        <v>388</v>
      </c>
      <c r="B12" s="157">
        <v>0.69</v>
      </c>
      <c r="C12" s="55">
        <f t="shared" ref="C12:C18" si="0">($B$5^0.5*B12)*100</f>
        <v>690</v>
      </c>
      <c r="D12" s="2"/>
      <c r="E12" s="2"/>
      <c r="F12" s="2"/>
      <c r="G12" s="2"/>
      <c r="H12" s="2"/>
      <c r="I12" s="9"/>
    </row>
    <row r="13" spans="1:10" ht="13" x14ac:dyDescent="0.3">
      <c r="A13" s="214" t="s">
        <v>389</v>
      </c>
      <c r="B13" s="157">
        <v>2.21</v>
      </c>
      <c r="C13" s="55">
        <f t="shared" si="0"/>
        <v>2210</v>
      </c>
      <c r="D13" s="2"/>
      <c r="E13" s="2"/>
      <c r="F13" s="2"/>
      <c r="G13" s="2"/>
      <c r="H13" s="2"/>
      <c r="I13" s="9"/>
    </row>
    <row r="14" spans="1:10" ht="13" x14ac:dyDescent="0.3">
      <c r="A14" s="239" t="s">
        <v>390</v>
      </c>
      <c r="B14" s="35">
        <v>4.4000000000000004</v>
      </c>
      <c r="C14" s="55">
        <f t="shared" si="0"/>
        <v>4400</v>
      </c>
      <c r="D14" s="2"/>
      <c r="E14" s="2"/>
      <c r="F14" s="2"/>
      <c r="G14" s="2"/>
      <c r="H14" s="2"/>
      <c r="I14" s="9"/>
    </row>
    <row r="15" spans="1:10" ht="13" x14ac:dyDescent="0.3">
      <c r="A15" s="214" t="s">
        <v>356</v>
      </c>
      <c r="B15" s="35">
        <v>8.1999999999999993</v>
      </c>
      <c r="C15" s="55">
        <f t="shared" si="0"/>
        <v>8200</v>
      </c>
      <c r="D15" s="2"/>
      <c r="E15" s="2"/>
      <c r="F15" s="2"/>
      <c r="G15" s="2"/>
      <c r="H15" s="2"/>
      <c r="I15" s="9"/>
    </row>
    <row r="16" spans="1:10" ht="13" x14ac:dyDescent="0.3">
      <c r="A16" s="239" t="s">
        <v>23</v>
      </c>
      <c r="B16" s="35">
        <v>16.399999999999999</v>
      </c>
      <c r="C16" s="55">
        <f t="shared" si="0"/>
        <v>16400</v>
      </c>
      <c r="D16" s="2"/>
      <c r="E16" s="2"/>
      <c r="F16" s="2"/>
      <c r="G16" s="2"/>
      <c r="H16" s="2"/>
      <c r="I16" s="9"/>
    </row>
    <row r="17" spans="1:10" ht="13" x14ac:dyDescent="0.3">
      <c r="A17" s="214" t="s">
        <v>26</v>
      </c>
      <c r="B17" s="35">
        <v>24.1</v>
      </c>
      <c r="C17" s="55">
        <f t="shared" si="0"/>
        <v>24100</v>
      </c>
      <c r="D17" s="2"/>
      <c r="E17" s="2"/>
      <c r="F17" s="2"/>
      <c r="G17" s="2"/>
      <c r="H17" s="2"/>
      <c r="I17" s="9"/>
    </row>
    <row r="18" spans="1:10" ht="13.5" thickBot="1" x14ac:dyDescent="0.35">
      <c r="A18" s="240" t="s">
        <v>29</v>
      </c>
      <c r="B18" s="232">
        <v>44.2</v>
      </c>
      <c r="C18" s="56">
        <f t="shared" si="0"/>
        <v>44200</v>
      </c>
      <c r="D18" s="2"/>
      <c r="E18" s="2"/>
      <c r="F18" s="2"/>
      <c r="G18" s="2"/>
      <c r="H18" s="2"/>
      <c r="I18" s="9"/>
    </row>
    <row r="19" spans="1:10" ht="13" thickTop="1" x14ac:dyDescent="0.25">
      <c r="A19" s="10"/>
      <c r="B19" s="2"/>
      <c r="C19" s="2"/>
      <c r="D19" s="2"/>
      <c r="E19" s="2"/>
      <c r="F19" s="2"/>
      <c r="G19" s="2"/>
      <c r="H19" s="2"/>
      <c r="I19" s="9"/>
    </row>
    <row r="20" spans="1:10" x14ac:dyDescent="0.25">
      <c r="A20" s="10"/>
      <c r="B20" s="2"/>
      <c r="C20" s="2"/>
      <c r="D20" s="2"/>
      <c r="E20" s="2"/>
      <c r="F20" s="2"/>
      <c r="G20" s="2"/>
      <c r="H20" s="2"/>
      <c r="I20" s="9"/>
    </row>
    <row r="21" spans="1:10" x14ac:dyDescent="0.25">
      <c r="A21" s="10"/>
      <c r="B21" s="2"/>
      <c r="C21" s="2"/>
      <c r="D21" s="2"/>
      <c r="E21" s="2"/>
      <c r="F21" s="2"/>
      <c r="G21" s="2"/>
      <c r="H21" s="2"/>
      <c r="I21" s="9"/>
    </row>
    <row r="22" spans="1:10" x14ac:dyDescent="0.25">
      <c r="A22" s="10"/>
      <c r="B22" s="2"/>
      <c r="C22" s="2"/>
      <c r="D22" s="2"/>
      <c r="E22" s="2"/>
      <c r="F22" s="2"/>
      <c r="G22" s="2"/>
      <c r="H22" s="2"/>
      <c r="I22" s="9"/>
    </row>
    <row r="23" spans="1:10" ht="13" thickBot="1" x14ac:dyDescent="0.3">
      <c r="A23" s="14"/>
      <c r="B23" s="15"/>
      <c r="C23" s="15"/>
      <c r="D23" s="15"/>
      <c r="E23" s="15"/>
      <c r="F23" s="15"/>
      <c r="G23" s="15"/>
      <c r="H23" s="15"/>
      <c r="I23" s="16"/>
    </row>
    <row r="24" spans="1:10" ht="13.5" thickTop="1" thickBot="1" x14ac:dyDescent="0.3">
      <c r="A24" s="241"/>
      <c r="B24" s="241"/>
      <c r="C24" s="241"/>
      <c r="D24" s="241"/>
      <c r="E24" s="241"/>
      <c r="F24" s="241"/>
      <c r="G24" s="241"/>
      <c r="H24" s="241"/>
      <c r="I24" s="241"/>
      <c r="J24" s="241"/>
    </row>
    <row r="25" spans="1:10" ht="20.5" thickTop="1" x14ac:dyDescent="0.4">
      <c r="A25" s="278" t="s">
        <v>429</v>
      </c>
      <c r="B25" s="279"/>
      <c r="C25" s="279"/>
      <c r="D25" s="279"/>
      <c r="E25" s="279"/>
      <c r="F25" s="279"/>
      <c r="G25" s="279"/>
      <c r="H25" s="279"/>
      <c r="I25" s="142"/>
      <c r="J25" s="241"/>
    </row>
    <row r="26" spans="1:10" ht="20.5" thickBot="1" x14ac:dyDescent="0.45">
      <c r="A26" s="280" t="s">
        <v>431</v>
      </c>
      <c r="B26" s="281"/>
      <c r="C26" s="281"/>
      <c r="D26" s="281"/>
      <c r="E26" s="281"/>
      <c r="F26" s="281"/>
      <c r="G26" s="281"/>
      <c r="H26" s="281"/>
      <c r="I26" s="29"/>
      <c r="J26" s="241"/>
    </row>
    <row r="27" spans="1:10" ht="13.5" thickTop="1" x14ac:dyDescent="0.3">
      <c r="A27" s="6"/>
      <c r="B27" s="21"/>
      <c r="C27" s="21"/>
      <c r="D27" s="7"/>
      <c r="E27" s="7"/>
      <c r="F27" s="7"/>
      <c r="G27" s="7"/>
      <c r="H27" s="7"/>
      <c r="I27" s="8"/>
      <c r="J27" s="241"/>
    </row>
    <row r="28" spans="1:10" ht="13" x14ac:dyDescent="0.3">
      <c r="A28" s="10"/>
      <c r="B28" s="5" t="s">
        <v>1</v>
      </c>
      <c r="C28" s="2"/>
      <c r="D28" s="2"/>
      <c r="E28" s="2"/>
      <c r="F28" s="2"/>
      <c r="G28" s="2"/>
      <c r="H28" s="2"/>
      <c r="I28" s="9"/>
      <c r="J28" s="241"/>
    </row>
    <row r="29" spans="1:10" ht="13" x14ac:dyDescent="0.3">
      <c r="A29" s="34" t="s">
        <v>396</v>
      </c>
      <c r="B29" s="199">
        <v>500</v>
      </c>
      <c r="C29" s="12" t="s">
        <v>254</v>
      </c>
      <c r="D29" s="2"/>
      <c r="E29" s="2"/>
      <c r="F29" s="2"/>
      <c r="G29" s="2"/>
      <c r="H29" s="2"/>
      <c r="I29" s="9"/>
      <c r="J29" s="241"/>
    </row>
    <row r="30" spans="1:10" ht="13" x14ac:dyDescent="0.3">
      <c r="A30" s="34"/>
      <c r="B30" s="2"/>
      <c r="C30" s="12"/>
      <c r="D30" s="2"/>
      <c r="E30" s="2"/>
      <c r="F30" s="11"/>
      <c r="G30" s="2"/>
      <c r="H30" s="2"/>
      <c r="I30" s="9"/>
      <c r="J30" s="241"/>
    </row>
    <row r="31" spans="1:10" ht="13" x14ac:dyDescent="0.3">
      <c r="A31" s="10"/>
      <c r="B31" s="2"/>
      <c r="C31" s="2"/>
      <c r="D31" s="2"/>
      <c r="E31" s="2"/>
      <c r="F31" s="11"/>
      <c r="G31" s="2"/>
      <c r="H31" s="2"/>
      <c r="I31" s="9"/>
      <c r="J31" s="241"/>
    </row>
    <row r="32" spans="1:10" ht="13" thickBot="1" x14ac:dyDescent="0.3">
      <c r="A32" s="10"/>
      <c r="B32" s="2"/>
      <c r="C32" s="2"/>
      <c r="D32" s="2"/>
      <c r="E32" s="2"/>
      <c r="F32" s="2"/>
      <c r="G32" s="2"/>
      <c r="H32" s="2"/>
      <c r="I32" s="9"/>
      <c r="J32" s="241"/>
    </row>
    <row r="33" spans="1:10" ht="13.5" thickTop="1" x14ac:dyDescent="0.3">
      <c r="A33" s="286" t="s">
        <v>0</v>
      </c>
      <c r="B33" s="237" t="s">
        <v>395</v>
      </c>
      <c r="C33" s="238" t="s">
        <v>338</v>
      </c>
      <c r="D33" s="2"/>
      <c r="E33" s="2"/>
      <c r="F33" s="2"/>
      <c r="G33" s="2"/>
      <c r="H33" s="2"/>
      <c r="I33" s="9"/>
      <c r="J33" s="241"/>
    </row>
    <row r="34" spans="1:10" ht="13" x14ac:dyDescent="0.3">
      <c r="A34" s="287"/>
      <c r="B34" s="119" t="s">
        <v>386</v>
      </c>
      <c r="C34" s="211" t="s">
        <v>391</v>
      </c>
      <c r="D34" s="2"/>
      <c r="E34" s="2"/>
      <c r="F34" s="2"/>
      <c r="G34" s="2"/>
      <c r="H34" s="2"/>
      <c r="I34" s="9"/>
      <c r="J34" s="241"/>
    </row>
    <row r="35" spans="1:10" ht="13" x14ac:dyDescent="0.3">
      <c r="A35" s="214" t="s">
        <v>387</v>
      </c>
      <c r="B35" s="157">
        <v>0.26</v>
      </c>
      <c r="C35" s="219">
        <f>((($B$29/1000)/B35)^2)*100</f>
        <v>369.8224852071005</v>
      </c>
      <c r="D35" s="2"/>
      <c r="E35" s="2"/>
      <c r="F35" s="2"/>
      <c r="G35" s="2"/>
      <c r="H35" s="2"/>
      <c r="I35" s="9"/>
      <c r="J35" s="241"/>
    </row>
    <row r="36" spans="1:10" ht="13" x14ac:dyDescent="0.3">
      <c r="A36" s="239" t="s">
        <v>388</v>
      </c>
      <c r="B36" s="157">
        <v>0.69</v>
      </c>
      <c r="C36" s="219">
        <f t="shared" ref="C36:C42" si="1">((($B$29/1000)/B36)^2)*100</f>
        <v>52.50997689561018</v>
      </c>
      <c r="D36" s="2"/>
      <c r="E36" s="2"/>
      <c r="F36" s="2"/>
      <c r="G36" s="2"/>
      <c r="H36" s="2"/>
      <c r="I36" s="9"/>
      <c r="J36" s="241"/>
    </row>
    <row r="37" spans="1:10" ht="13" x14ac:dyDescent="0.3">
      <c r="A37" s="214" t="s">
        <v>389</v>
      </c>
      <c r="B37" s="157">
        <v>2.21</v>
      </c>
      <c r="C37" s="219">
        <f t="shared" si="1"/>
        <v>5.1186503142851292</v>
      </c>
      <c r="D37" s="2"/>
      <c r="E37" s="2"/>
      <c r="F37" s="2"/>
      <c r="G37" s="2"/>
      <c r="H37" s="2"/>
      <c r="I37" s="9"/>
      <c r="J37" s="241"/>
    </row>
    <row r="38" spans="1:10" ht="13" x14ac:dyDescent="0.3">
      <c r="A38" s="239" t="s">
        <v>390</v>
      </c>
      <c r="B38" s="35">
        <v>4.4000000000000004</v>
      </c>
      <c r="C38" s="219">
        <f t="shared" si="1"/>
        <v>1.2913223140495866</v>
      </c>
      <c r="D38" s="2"/>
      <c r="E38" s="2"/>
      <c r="F38" s="2"/>
      <c r="G38" s="2"/>
      <c r="H38" s="2"/>
      <c r="I38" s="9"/>
    </row>
    <row r="39" spans="1:10" ht="13" x14ac:dyDescent="0.3">
      <c r="A39" s="214" t="s">
        <v>356</v>
      </c>
      <c r="B39" s="35">
        <v>8.1999999999999993</v>
      </c>
      <c r="C39" s="219">
        <f t="shared" si="1"/>
        <v>0.37180249851279007</v>
      </c>
      <c r="D39" s="2"/>
      <c r="E39" s="2"/>
      <c r="F39" s="2"/>
      <c r="G39" s="2"/>
      <c r="H39" s="2"/>
      <c r="I39" s="9"/>
    </row>
    <row r="40" spans="1:10" ht="13" x14ac:dyDescent="0.3">
      <c r="A40" s="239" t="s">
        <v>23</v>
      </c>
      <c r="B40" s="35">
        <v>16.399999999999999</v>
      </c>
      <c r="C40" s="219">
        <f t="shared" si="1"/>
        <v>9.2950624628197517E-2</v>
      </c>
      <c r="D40" s="2"/>
      <c r="E40" s="2"/>
      <c r="F40" s="2"/>
      <c r="G40" s="2"/>
      <c r="H40" s="2"/>
      <c r="I40" s="9"/>
    </row>
    <row r="41" spans="1:10" ht="13" x14ac:dyDescent="0.3">
      <c r="A41" s="214" t="s">
        <v>26</v>
      </c>
      <c r="B41" s="35">
        <v>24.1</v>
      </c>
      <c r="C41" s="219">
        <f t="shared" si="1"/>
        <v>4.3043336030715716E-2</v>
      </c>
      <c r="D41" s="2"/>
      <c r="E41" s="2"/>
      <c r="F41" s="2"/>
      <c r="G41" s="2"/>
      <c r="H41" s="2"/>
      <c r="I41" s="9"/>
    </row>
    <row r="42" spans="1:10" ht="13.5" thickBot="1" x14ac:dyDescent="0.35">
      <c r="A42" s="240" t="s">
        <v>29</v>
      </c>
      <c r="B42" s="232">
        <v>44.2</v>
      </c>
      <c r="C42" s="220">
        <f t="shared" si="1"/>
        <v>1.2796625785712824E-2</v>
      </c>
      <c r="D42" s="2"/>
      <c r="E42" s="2"/>
      <c r="F42" s="2"/>
      <c r="G42" s="2"/>
      <c r="H42" s="2"/>
      <c r="I42" s="9"/>
    </row>
    <row r="43" spans="1:10" ht="13" thickTop="1" x14ac:dyDescent="0.25">
      <c r="A43" s="10"/>
      <c r="B43" s="2"/>
      <c r="C43" s="2"/>
      <c r="D43" s="2"/>
      <c r="E43" s="2"/>
      <c r="F43" s="2"/>
      <c r="G43" s="2"/>
      <c r="H43" s="2"/>
      <c r="I43" s="9"/>
    </row>
    <row r="44" spans="1:10" x14ac:dyDescent="0.25">
      <c r="A44" s="10"/>
      <c r="B44" s="2"/>
      <c r="C44" s="2"/>
      <c r="D44" s="2"/>
      <c r="E44" s="2"/>
      <c r="F44" s="2"/>
      <c r="G44" s="2"/>
      <c r="H44" s="2"/>
      <c r="I44" s="9"/>
    </row>
    <row r="45" spans="1:10" x14ac:dyDescent="0.25">
      <c r="A45" s="10"/>
      <c r="B45" s="2"/>
      <c r="C45" s="2"/>
      <c r="D45" s="2"/>
      <c r="E45" s="2"/>
      <c r="F45" s="2"/>
      <c r="G45" s="2"/>
      <c r="H45" s="2"/>
      <c r="I45" s="9"/>
    </row>
    <row r="46" spans="1:10" x14ac:dyDescent="0.25">
      <c r="A46" s="10"/>
      <c r="B46" s="2"/>
      <c r="C46" s="2"/>
      <c r="D46" s="2"/>
      <c r="E46" s="2"/>
      <c r="F46" s="2"/>
      <c r="G46" s="2"/>
      <c r="H46" s="2"/>
      <c r="I46" s="9"/>
    </row>
    <row r="47" spans="1:10" ht="13" thickBot="1" x14ac:dyDescent="0.3">
      <c r="A47" s="14"/>
      <c r="B47" s="15"/>
      <c r="C47" s="15"/>
      <c r="D47" s="15"/>
      <c r="E47" s="15"/>
      <c r="F47" s="15"/>
      <c r="G47" s="15"/>
      <c r="H47" s="15"/>
      <c r="I47" s="16"/>
    </row>
    <row r="48" spans="1:10" ht="13" thickTop="1" x14ac:dyDescent="0.25"/>
  </sheetData>
  <sheetProtection algorithmName="SHA-512" hashValue="itCSsibo5WftoH6t5gr/kfFMeCgVbAalaS5omxYdll8FDD0msGBK0/Te9TzGtbg/yjdFrBqFDSeVkLILTUWaqQ==" saltValue="Wr7XoQHBuiqi8r54f/NCyw==" spinCount="100000" sheet="1" objects="1" scenarios="1"/>
  <mergeCells count="6">
    <mergeCell ref="A33:A34"/>
    <mergeCell ref="A1:H1"/>
    <mergeCell ref="A2:H2"/>
    <mergeCell ref="A9:A10"/>
    <mergeCell ref="A25:H25"/>
    <mergeCell ref="A26:H26"/>
  </mergeCells>
  <conditionalFormatting sqref="C11:C18">
    <cfRule type="cellIs" dxfId="3" priority="2" operator="lessThan">
      <formula>#REF!</formula>
    </cfRule>
  </conditionalFormatting>
  <conditionalFormatting sqref="C35:C42">
    <cfRule type="cellIs" dxfId="2" priority="1" operator="lessThan">
      <formula>#REF!</formula>
    </cfRule>
  </conditionalFormatting>
  <pageMargins left="0.59055118110236227" right="0.39370078740157483" top="0.98425196850393704" bottom="0.98425196850393704" header="0.51181102362204722" footer="0.51181102362204722"/>
  <pageSetup paperSize="9" scale="105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8</vt:i4>
      </vt:variant>
    </vt:vector>
  </HeadingPairs>
  <TitlesOfParts>
    <vt:vector size="19" baseType="lpstr">
      <vt:lpstr>Frese S</vt:lpstr>
      <vt:lpstr>Frese SIGMA Compact</vt:lpstr>
      <vt:lpstr>Frese OPTIMA</vt:lpstr>
      <vt:lpstr>Frese OPTIMA Compact</vt:lpstr>
      <vt:lpstr>Frese OPTIMA Compact Flanged</vt:lpstr>
      <vt:lpstr>ALPHA</vt:lpstr>
      <vt:lpstr>ALPHA Wafer</vt:lpstr>
      <vt:lpstr>Frese OPTIMIZER</vt:lpstr>
      <vt:lpstr>Frese STBV DN15-50</vt:lpstr>
      <vt:lpstr>Frese STBV DN65-300</vt:lpstr>
      <vt:lpstr>Ark2</vt:lpstr>
      <vt:lpstr>'Frese OPTIMA'!Zone_d_impression</vt:lpstr>
      <vt:lpstr>'Frese OPTIMA Compact'!Zone_d_impression</vt:lpstr>
      <vt:lpstr>'Frese OPTIMA Compact Flanged'!Zone_d_impression</vt:lpstr>
      <vt:lpstr>'Frese OPTIMIZER'!Zone_d_impression</vt:lpstr>
      <vt:lpstr>'Frese S'!Zone_d_impression</vt:lpstr>
      <vt:lpstr>'Frese SIGMA Compact'!Zone_d_impression</vt:lpstr>
      <vt:lpstr>'Frese STBV DN15-50'!Zone_d_impression</vt:lpstr>
      <vt:lpstr>'Frese STBV DN65-300'!Zone_d_impression</vt:lpstr>
    </vt:vector>
  </TitlesOfParts>
  <Company>Frese A/S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Jens Johansen</dc:creator>
  <cp:lastModifiedBy>Fabien Cheret</cp:lastModifiedBy>
  <cp:lastPrinted>2012-12-18T13:04:46Z</cp:lastPrinted>
  <dcterms:created xsi:type="dcterms:W3CDTF">2004-11-24T15:05:14Z</dcterms:created>
  <dcterms:modified xsi:type="dcterms:W3CDTF">2020-04-28T13:08:17Z</dcterms:modified>
</cp:coreProperties>
</file>