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-180" windowWidth="8820" windowHeight="5745" activeTab="4"/>
  </bookViews>
  <sheets>
    <sheet name="VFL OPTIMA COMPACT" sheetId="18" r:id="rId1"/>
    <sheet name="VFL OPTIMA" sheetId="9" r:id="rId2"/>
    <sheet name="VFL OPTIMA Flange " sheetId="20" r:id="rId3"/>
    <sheet name="VAD" sheetId="17" r:id="rId4"/>
    <sheet name="VAD Flange" sheetId="21" r:id="rId5"/>
  </sheets>
  <definedNames>
    <definedName name="_xlnm.Print_Area" localSheetId="1">'VFL OPTIMA'!$A$1:$I$29</definedName>
    <definedName name="_xlnm.Print_Area" localSheetId="2">'VFL OPTIMA Flange '!$A$1:$I$36</definedName>
  </definedNames>
  <calcPr calcId="145621"/>
</workbook>
</file>

<file path=xl/calcChain.xml><?xml version="1.0" encoding="utf-8"?>
<calcChain xmlns="http://schemas.openxmlformats.org/spreadsheetml/2006/main">
  <c r="C43" i="21" l="1"/>
  <c r="C44" i="21"/>
  <c r="C47" i="21"/>
  <c r="C48" i="21"/>
  <c r="C49" i="21"/>
  <c r="G9" i="21" s="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42" i="21" l="1"/>
  <c r="G7" i="21"/>
  <c r="I8" i="21" s="1"/>
  <c r="D14" i="21" s="1"/>
  <c r="C52" i="20" l="1"/>
  <c r="D52" i="20" s="1"/>
  <c r="B52" i="20"/>
  <c r="C51" i="20"/>
  <c r="D51" i="20" s="1"/>
  <c r="B51" i="20"/>
  <c r="D23" i="20" s="1"/>
  <c r="D50" i="20"/>
  <c r="C50" i="20"/>
  <c r="B50" i="20"/>
  <c r="C49" i="20"/>
  <c r="D21" i="20" s="1"/>
  <c r="B49" i="20"/>
  <c r="C48" i="20"/>
  <c r="D48" i="20" s="1"/>
  <c r="B48" i="20"/>
  <c r="C47" i="20"/>
  <c r="D47" i="20" s="1"/>
  <c r="B47" i="20"/>
  <c r="D19" i="20" s="1"/>
  <c r="D46" i="20"/>
  <c r="C46" i="20"/>
  <c r="B46" i="20"/>
  <c r="C45" i="20"/>
  <c r="D45" i="20" s="1"/>
  <c r="B45" i="20"/>
  <c r="C44" i="20"/>
  <c r="D44" i="20" s="1"/>
  <c r="B44" i="20"/>
  <c r="C43" i="20"/>
  <c r="D43" i="20" s="1"/>
  <c r="B43" i="20"/>
  <c r="D15" i="20" s="1"/>
  <c r="D42" i="20"/>
  <c r="C42" i="20"/>
  <c r="B42" i="20"/>
  <c r="C41" i="20"/>
  <c r="D41" i="20" s="1"/>
  <c r="B41" i="20"/>
  <c r="C40" i="20"/>
  <c r="D40" i="20" s="1"/>
  <c r="B40" i="20"/>
  <c r="C39" i="20"/>
  <c r="D39" i="20" s="1"/>
  <c r="B39" i="20"/>
  <c r="D11" i="20" s="1"/>
  <c r="D24" i="20"/>
  <c r="D22" i="20"/>
  <c r="D20" i="20"/>
  <c r="D18" i="20"/>
  <c r="D16" i="20"/>
  <c r="D14" i="20"/>
  <c r="D12" i="20"/>
  <c r="D17" i="20" l="1"/>
  <c r="D49" i="20"/>
  <c r="D13" i="20"/>
  <c r="C44" i="18"/>
  <c r="C45" i="18"/>
  <c r="C46" i="18"/>
  <c r="C47" i="18"/>
  <c r="D18" i="18" s="1"/>
  <c r="C48" i="18"/>
  <c r="D19" i="18" s="1"/>
  <c r="C49" i="18"/>
  <c r="C50" i="18"/>
  <c r="C51" i="18"/>
  <c r="C52" i="18"/>
  <c r="D23" i="18" s="1"/>
  <c r="C53" i="18"/>
  <c r="C54" i="18"/>
  <c r="B54" i="18"/>
  <c r="B53" i="18"/>
  <c r="B52" i="18"/>
  <c r="B51" i="18"/>
  <c r="B50" i="18"/>
  <c r="B49" i="18"/>
  <c r="B48" i="18"/>
  <c r="B47" i="18"/>
  <c r="B46" i="18"/>
  <c r="D46" i="18" s="1"/>
  <c r="B45" i="18"/>
  <c r="B44" i="18"/>
  <c r="C43" i="18"/>
  <c r="D43" i="18" s="1"/>
  <c r="B43" i="18"/>
  <c r="C42" i="18"/>
  <c r="D42" i="18" s="1"/>
  <c r="B42" i="18"/>
  <c r="C41" i="18"/>
  <c r="B41" i="18"/>
  <c r="D41" i="18" s="1"/>
  <c r="D40" i="18"/>
  <c r="C40" i="18"/>
  <c r="B40" i="18"/>
  <c r="D15" i="18"/>
  <c r="C37" i="17"/>
  <c r="C36" i="17"/>
  <c r="C35" i="17"/>
  <c r="C41" i="17"/>
  <c r="C34" i="17" s="1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40" i="17"/>
  <c r="D5" i="9"/>
  <c r="C35" i="9"/>
  <c r="C37" i="9"/>
  <c r="D37" i="9"/>
  <c r="C39" i="9"/>
  <c r="C40" i="9"/>
  <c r="C38" i="9"/>
  <c r="C36" i="9"/>
  <c r="C34" i="9"/>
  <c r="C33" i="9"/>
  <c r="C32" i="9"/>
  <c r="B40" i="9"/>
  <c r="B39" i="9"/>
  <c r="D39" i="9"/>
  <c r="B38" i="9"/>
  <c r="B37" i="9"/>
  <c r="B36" i="9"/>
  <c r="B35" i="9"/>
  <c r="B34" i="9"/>
  <c r="B33" i="9"/>
  <c r="B32" i="9"/>
  <c r="D32" i="9"/>
  <c r="D11" i="9"/>
  <c r="D15" i="9"/>
  <c r="D14" i="9"/>
  <c r="D40" i="9"/>
  <c r="D36" i="9"/>
  <c r="D12" i="9"/>
  <c r="D33" i="9"/>
  <c r="D34" i="9"/>
  <c r="D38" i="9"/>
  <c r="D13" i="9"/>
  <c r="D35" i="9"/>
  <c r="D25" i="18" l="1"/>
  <c r="D21" i="18"/>
  <c r="D17" i="18"/>
  <c r="D44" i="18"/>
  <c r="D16" i="18"/>
  <c r="D47" i="18"/>
  <c r="D48" i="18"/>
  <c r="D49" i="18"/>
  <c r="D50" i="18"/>
  <c r="D22" i="18"/>
  <c r="D52" i="18"/>
  <c r="D24" i="18"/>
  <c r="D54" i="18"/>
  <c r="D53" i="18"/>
  <c r="D51" i="18"/>
  <c r="D20" i="18"/>
  <c r="D45" i="18"/>
  <c r="D14" i="18"/>
  <c r="D13" i="18"/>
  <c r="D12" i="18"/>
  <c r="D11" i="18"/>
  <c r="D10" i="17"/>
</calcChain>
</file>

<file path=xl/sharedStrings.xml><?xml version="1.0" encoding="utf-8"?>
<sst xmlns="http://schemas.openxmlformats.org/spreadsheetml/2006/main" count="315" uniqueCount="217">
  <si>
    <t>Input</t>
  </si>
  <si>
    <t>Pre-set</t>
  </si>
  <si>
    <t>16-400</t>
  </si>
  <si>
    <t xml:space="preserve">DN32 </t>
  </si>
  <si>
    <t>14-400</t>
  </si>
  <si>
    <t xml:space="preserve">DN40 </t>
  </si>
  <si>
    <t xml:space="preserve">DN50 </t>
  </si>
  <si>
    <t>DN15 LF</t>
  </si>
  <si>
    <t>DN15 HF</t>
  </si>
  <si>
    <t>DN20 LF</t>
  </si>
  <si>
    <t>DN20 HF</t>
  </si>
  <si>
    <t>292-2039</t>
  </si>
  <si>
    <t>DN25 LF</t>
  </si>
  <si>
    <t>231-1722</t>
  </si>
  <si>
    <t>DN25 HF</t>
  </si>
  <si>
    <t>465-3056</t>
  </si>
  <si>
    <t>2022-7105</t>
  </si>
  <si>
    <t>2204-8586</t>
  </si>
  <si>
    <t>19-400</t>
  </si>
  <si>
    <t>DN10 Low 2,5</t>
  </si>
  <si>
    <t>DN10 Low 5,0</t>
  </si>
  <si>
    <t>DN15 Low 2,5</t>
  </si>
  <si>
    <t>DN15 Low 5,0</t>
  </si>
  <si>
    <t>DN15 High 2,5</t>
  </si>
  <si>
    <t>DN20 High 2,5</t>
  </si>
  <si>
    <t>DN20 High 4,0</t>
  </si>
  <si>
    <t>DN20 High 5,0</t>
  </si>
  <si>
    <t>DP</t>
  </si>
  <si>
    <t>Ventil</t>
  </si>
  <si>
    <t>30-200</t>
  </si>
  <si>
    <t>65-370</t>
  </si>
  <si>
    <t>100-575</t>
  </si>
  <si>
    <t>160-990</t>
  </si>
  <si>
    <t>220-1330</t>
  </si>
  <si>
    <t>DN50 Low Flow</t>
  </si>
  <si>
    <t>DN50 High Flow</t>
  </si>
  <si>
    <t>DN65 Low Flow</t>
  </si>
  <si>
    <t>DN65 High Flow</t>
  </si>
  <si>
    <t>DN80 Low Flow</t>
  </si>
  <si>
    <t>DN80 High Flow</t>
  </si>
  <si>
    <t>4,38-25,00</t>
  </si>
  <si>
    <t>5,95-35,00</t>
  </si>
  <si>
    <t>5,34-34,00</t>
  </si>
  <si>
    <t>7,02-43,00</t>
  </si>
  <si>
    <t>3,92-24,00</t>
  </si>
  <si>
    <t>2,48-15,00</t>
  </si>
  <si>
    <t>600-3609</t>
  </si>
  <si>
    <t>550-4001</t>
  </si>
  <si>
    <t>DP  =</t>
  </si>
  <si>
    <t>Pre-set =</t>
  </si>
  <si>
    <t>Min DP</t>
  </si>
  <si>
    <t>Nom. flow</t>
  </si>
  <si>
    <t>KV</t>
  </si>
  <si>
    <t>(kPa)</t>
  </si>
  <si>
    <t>Débit (l/h)</t>
  </si>
  <si>
    <t xml:space="preserve"> ∆Pp(kPa)</t>
  </si>
  <si>
    <t>Réglages</t>
  </si>
  <si>
    <t>Dimensions</t>
  </si>
  <si>
    <t>Contrôle de débit</t>
  </si>
  <si>
    <t>QUICK - CONTROL VFL OPTIMA</t>
  </si>
  <si>
    <t>QUICK - CONTROL VFL OPTIMA Flange</t>
  </si>
  <si>
    <t xml:space="preserve">le réglage de ∆Pp  est défini par le Minimum (Min. ∆Pp) et le Maximum (Max.∆Pp) de pression sur la pompe    </t>
  </si>
  <si>
    <t>(Bar)</t>
  </si>
  <si>
    <t>VFL010F201</t>
  </si>
  <si>
    <t>VFL010F211</t>
  </si>
  <si>
    <t>VFL25F301</t>
  </si>
  <si>
    <t>VFL25F311</t>
  </si>
  <si>
    <t>VFL32F301</t>
  </si>
  <si>
    <t>VFL40F301</t>
  </si>
  <si>
    <t>VFL50F301</t>
  </si>
  <si>
    <t>kPa</t>
  </si>
  <si>
    <t>Inside DP-range</t>
  </si>
  <si>
    <t>l/h</t>
  </si>
  <si>
    <t>ALPHA Valve</t>
  </si>
  <si>
    <t>Valve</t>
  </si>
  <si>
    <t>Flow</t>
  </si>
  <si>
    <t>Dimension</t>
  </si>
  <si>
    <t>range</t>
  </si>
  <si>
    <t>DN</t>
  </si>
  <si>
    <t>25-2448</t>
  </si>
  <si>
    <t>25L</t>
  </si>
  <si>
    <t>674-11355</t>
  </si>
  <si>
    <t>Range  ∆Pp</t>
  </si>
  <si>
    <t>DN15-25</t>
  </si>
  <si>
    <t>DN25L-50</t>
  </si>
  <si>
    <t>LP Low Press.</t>
  </si>
  <si>
    <t xml:space="preserve">7-350 </t>
  </si>
  <si>
    <t>12-350</t>
  </si>
  <si>
    <t>HP High Press.</t>
  </si>
  <si>
    <t xml:space="preserve">7-600 </t>
  </si>
  <si>
    <t>12-600</t>
  </si>
  <si>
    <t xml:space="preserve">Range ∆Pp is defined from Min. Pump pressure (Min. ∆Pp) to Max. Pump pressure (Max.∆Pp) .  </t>
  </si>
  <si>
    <t>KV opslag</t>
  </si>
  <si>
    <t>(m3/h)</t>
  </si>
  <si>
    <t>Flow opslag</t>
  </si>
  <si>
    <t>Min DP opslag</t>
  </si>
  <si>
    <t>Max DP opslag</t>
  </si>
  <si>
    <t>Item no.</t>
  </si>
  <si>
    <t>Max DP</t>
  </si>
  <si>
    <t xml:space="preserve">Mesure DP = </t>
  </si>
  <si>
    <t>Débit</t>
  </si>
  <si>
    <t>Dans la plage DP</t>
  </si>
  <si>
    <t>Hors plage DP</t>
  </si>
  <si>
    <t>Quick - CONTROL VAD</t>
  </si>
  <si>
    <t>Contrôle débit</t>
  </si>
  <si>
    <t>Type de cartouche =</t>
  </si>
  <si>
    <t>DP  measured =</t>
  </si>
  <si>
    <t>Range</t>
  </si>
  <si>
    <t>Verification</t>
  </si>
  <si>
    <t>Flow (l/h)</t>
  </si>
  <si>
    <t>Range ∆Pp(kPa)</t>
  </si>
  <si>
    <t>14-800</t>
  </si>
  <si>
    <t>15-800</t>
  </si>
  <si>
    <t>DN15 High 5,0</t>
  </si>
  <si>
    <t>16-800</t>
  </si>
  <si>
    <t>DN20 High 5,5</t>
  </si>
  <si>
    <t>300-1800</t>
  </si>
  <si>
    <t>18-800</t>
  </si>
  <si>
    <t>DN25 Low 5,5</t>
  </si>
  <si>
    <t>280-1800</t>
  </si>
  <si>
    <t>DN25L High 5,5</t>
  </si>
  <si>
    <t>17-800</t>
  </si>
  <si>
    <t>DN32</t>
  </si>
  <si>
    <t>DN40</t>
  </si>
  <si>
    <t>1370-9500</t>
  </si>
  <si>
    <t>10-800</t>
  </si>
  <si>
    <t>DN50</t>
  </si>
  <si>
    <t>1400-11500</t>
  </si>
  <si>
    <t>Outside DP-range</t>
  </si>
  <si>
    <t xml:space="preserve">Range ∆Pp is defined from Min. Pump pressure (Min. ∆Pp) to Max. Pump pressure (Max.∆Pp) .    </t>
  </si>
  <si>
    <t>QUICK - CONTROL VFL Optima Compact</t>
  </si>
  <si>
    <t>VFL015F221 / F223</t>
  </si>
  <si>
    <t>VFL015F211 / F213</t>
  </si>
  <si>
    <t>VFL015F201 / F203</t>
  </si>
  <si>
    <t>VFL015F233</t>
  </si>
  <si>
    <t>VFL020F221 / F223</t>
  </si>
  <si>
    <t>VFL020F211 / F213</t>
  </si>
  <si>
    <t>VFL020F201 / F203</t>
  </si>
  <si>
    <t>VFL020F231 / F233</t>
  </si>
  <si>
    <t>VFL025F241 / F243</t>
  </si>
  <si>
    <t>VFL025F231 / F233</t>
  </si>
  <si>
    <t>VFL032F231 / F233</t>
  </si>
  <si>
    <t>VFL040F233</t>
  </si>
  <si>
    <t>VFL050F233</t>
  </si>
  <si>
    <t>DP measured =</t>
  </si>
  <si>
    <t>Flow (m3/h)</t>
  </si>
  <si>
    <t>7-800</t>
  </si>
  <si>
    <t>19-800</t>
  </si>
  <si>
    <t>30-800</t>
  </si>
  <si>
    <t>23-800</t>
  </si>
  <si>
    <t>DN100 Low Flow</t>
  </si>
  <si>
    <t>12,10-68,00</t>
  </si>
  <si>
    <t>20-800</t>
  </si>
  <si>
    <t>DN100 High Flow</t>
  </si>
  <si>
    <t>14,80-90,00</t>
  </si>
  <si>
    <t>DN125 Low Flow</t>
  </si>
  <si>
    <t>18,5-110,0</t>
  </si>
  <si>
    <t>DN125 High Flow</t>
  </si>
  <si>
    <t>23,0-135,0</t>
  </si>
  <si>
    <t>27-800</t>
  </si>
  <si>
    <t>DN150 Low Flow</t>
  </si>
  <si>
    <t>25,6-148,0</t>
  </si>
  <si>
    <t>21-800</t>
  </si>
  <si>
    <t>DN150 High Flow</t>
  </si>
  <si>
    <t>32,0-195,0</t>
  </si>
  <si>
    <t>33-800</t>
  </si>
  <si>
    <t>DN200 Low Flow</t>
  </si>
  <si>
    <t>95,0-210,0</t>
  </si>
  <si>
    <t>11-800</t>
  </si>
  <si>
    <t>DN200 High Flow</t>
  </si>
  <si>
    <t>130,0-280,0</t>
  </si>
  <si>
    <t>31-800</t>
  </si>
  <si>
    <t>VFL050F40x</t>
  </si>
  <si>
    <t>VFL050F41x</t>
  </si>
  <si>
    <t>VFL065F41x</t>
  </si>
  <si>
    <t>VFL065F40x</t>
  </si>
  <si>
    <t>VFL080F41x</t>
  </si>
  <si>
    <t>VFL080F40x</t>
  </si>
  <si>
    <t>VFL100F40x</t>
  </si>
  <si>
    <t>VFL100F41x</t>
  </si>
  <si>
    <t>VFL125F40x</t>
  </si>
  <si>
    <t>VFL125F41x</t>
  </si>
  <si>
    <t>VFL150F40x</t>
  </si>
  <si>
    <t>VFL200F40x</t>
  </si>
  <si>
    <t>VFL200F41x</t>
  </si>
  <si>
    <t>Cartridge 1</t>
  </si>
  <si>
    <t>Range ∆Pp: 13 - 600 kPa</t>
  </si>
  <si>
    <t>3,8 - 3.825,0</t>
  </si>
  <si>
    <t>3,8 - 2.520,0</t>
  </si>
  <si>
    <t>3,8 - 1.800,0</t>
  </si>
  <si>
    <t>3,8 - 1.485,0</t>
  </si>
  <si>
    <t>3,8 - 1.170,0</t>
  </si>
  <si>
    <t>3,8 - 855,0</t>
  </si>
  <si>
    <t>3,8 - 675,0</t>
  </si>
  <si>
    <t>3,8 - 540,0</t>
  </si>
  <si>
    <t>3,8 - 315,0</t>
  </si>
  <si>
    <t>3,8 - 180,0</t>
  </si>
  <si>
    <t>3,8 - 135,0</t>
  </si>
  <si>
    <t>3,8 - 90,0</t>
  </si>
  <si>
    <t>3,8 - 45,0</t>
  </si>
  <si>
    <t>m³/h</t>
  </si>
  <si>
    <t>Dim.</t>
  </si>
  <si>
    <t>m3/h</t>
  </si>
  <si>
    <t xml:space="preserve">Input     </t>
  </si>
  <si>
    <t xml:space="preserve">Input    </t>
  </si>
  <si>
    <t>QUICK - CONTROL VAD Flange</t>
  </si>
  <si>
    <t>Cartouche 1</t>
  </si>
  <si>
    <t>Cartouche 2</t>
  </si>
  <si>
    <t>Référence</t>
  </si>
  <si>
    <t>DP mesuré =</t>
  </si>
  <si>
    <t xml:space="preserve">Débit </t>
  </si>
  <si>
    <t>Qté de cartouche</t>
  </si>
  <si>
    <t>Débit par cartouche</t>
  </si>
  <si>
    <t>Débit total</t>
  </si>
  <si>
    <t>Qté</t>
  </si>
  <si>
    <t>Cartouche</t>
  </si>
  <si>
    <t>5266407H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</si>
</sst>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"/>
    <numFmt numFmtId="166" formatCode="#,##0.0"/>
    <numFmt numFmtId="167" formatCode="0.0%"/>
  </numFmts>
  <fonts count="38" x14ac:knownFonts="1">
    <font>
      <sz val="10"/>
      <name val="Arial"/>
    </font>
    <font>
      <sz val="11"/>
      <color indexed="8"/>
      <name val="Calibri"/>
      <family val="2"/>
    </font>
    <font>
      <b/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000000"/>
      <name val="Arial"/>
      <family val="2"/>
    </font>
    <font>
      <b/>
      <sz val="10"/>
      <color indexed="10"/>
      <name val="Arial"/>
      <family val="2"/>
    </font>
    <font>
      <b/>
      <sz val="14"/>
      <color indexed="10"/>
      <name val="Arial"/>
      <family val="2"/>
    </font>
    <font>
      <b/>
      <sz val="8"/>
      <name val="Arial"/>
      <family val="2"/>
    </font>
    <font>
      <sz val="10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6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</borders>
  <cellStyleXfs count="86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12" fillId="20" borderId="1" applyNumberFormat="0" applyAlignment="0" applyProtection="0"/>
    <xf numFmtId="0" fontId="13" fillId="20" borderId="2" applyNumberFormat="0" applyAlignment="0" applyProtection="0"/>
    <xf numFmtId="0" fontId="11" fillId="7" borderId="2" applyNumberFormat="0" applyAlignment="0" applyProtection="0"/>
    <xf numFmtId="0" fontId="19" fillId="0" borderId="5" applyNumberFormat="0" applyFill="0" applyAlignment="0" applyProtection="0"/>
    <xf numFmtId="0" fontId="18" fillId="0" borderId="0" applyNumberFormat="0" applyFill="0" applyBorder="0" applyAlignment="0" applyProtection="0"/>
    <xf numFmtId="9" fontId="17" fillId="0" borderId="0" applyFont="0" applyFill="0" applyBorder="0" applyAlignment="0" applyProtection="0"/>
    <xf numFmtId="0" fontId="10" fillId="3" borderId="0" applyNumberFormat="0" applyBorder="0" applyAlignment="0" applyProtection="0"/>
    <xf numFmtId="0" fontId="29" fillId="54" borderId="0" applyNumberFormat="0" applyBorder="0" applyAlignment="0" applyProtection="0"/>
    <xf numFmtId="0" fontId="27" fillId="47" borderId="42" applyNumberFormat="0" applyAlignment="0" applyProtection="0"/>
    <xf numFmtId="0" fontId="28" fillId="46" borderId="43" applyNumberFormat="0" applyAlignment="0" applyProtection="0"/>
    <xf numFmtId="0" fontId="25" fillId="46" borderId="42" applyNumberFormat="0" applyAlignment="0" applyProtection="0"/>
    <xf numFmtId="0" fontId="26" fillId="0" borderId="0" applyNumberFormat="0" applyFill="0" applyBorder="0" applyAlignment="0" applyProtection="0"/>
    <xf numFmtId="0" fontId="24" fillId="48" borderId="0" applyNumberFormat="0" applyBorder="0" applyAlignment="0" applyProtection="0"/>
    <xf numFmtId="0" fontId="23" fillId="28" borderId="0" applyNumberFormat="0" applyBorder="0" applyAlignment="0" applyProtection="0"/>
    <xf numFmtId="0" fontId="23" fillId="34" borderId="0" applyNumberFormat="0" applyBorder="0" applyAlignment="0" applyProtection="0"/>
    <xf numFmtId="0" fontId="24" fillId="40" borderId="0" applyNumberFormat="0" applyBorder="0" applyAlignment="0" applyProtection="0"/>
    <xf numFmtId="0" fontId="24" fillId="49" borderId="0" applyNumberFormat="0" applyBorder="0" applyAlignment="0" applyProtection="0"/>
    <xf numFmtId="0" fontId="23" fillId="29" borderId="0" applyNumberFormat="0" applyBorder="0" applyAlignment="0" applyProtection="0"/>
    <xf numFmtId="0" fontId="23" fillId="35" borderId="0" applyNumberFormat="0" applyBorder="0" applyAlignment="0" applyProtection="0"/>
    <xf numFmtId="0" fontId="24" fillId="41" borderId="0" applyNumberFormat="0" applyBorder="0" applyAlignment="0" applyProtection="0"/>
    <xf numFmtId="0" fontId="24" fillId="50" borderId="0" applyNumberFormat="0" applyBorder="0" applyAlignment="0" applyProtection="0"/>
    <xf numFmtId="0" fontId="23" fillId="30" borderId="0" applyNumberFormat="0" applyBorder="0" applyAlignment="0" applyProtection="0"/>
    <xf numFmtId="0" fontId="23" fillId="36" borderId="0" applyNumberFormat="0" applyBorder="0" applyAlignment="0" applyProtection="0"/>
    <xf numFmtId="0" fontId="24" fillId="42" borderId="0" applyNumberFormat="0" applyBorder="0" applyAlignment="0" applyProtection="0"/>
    <xf numFmtId="0" fontId="24" fillId="51" borderId="0" applyNumberFormat="0" applyBorder="0" applyAlignment="0" applyProtection="0"/>
    <xf numFmtId="0" fontId="23" fillId="31" borderId="0" applyNumberFormat="0" applyBorder="0" applyAlignment="0" applyProtection="0"/>
    <xf numFmtId="0" fontId="23" fillId="37" borderId="0" applyNumberFormat="0" applyBorder="0" applyAlignment="0" applyProtection="0"/>
    <xf numFmtId="0" fontId="24" fillId="43" borderId="0" applyNumberFormat="0" applyBorder="0" applyAlignment="0" applyProtection="0"/>
    <xf numFmtId="0" fontId="24" fillId="52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3" fillId="33" borderId="0" applyNumberFormat="0" applyBorder="0" applyAlignment="0" applyProtection="0"/>
    <xf numFmtId="0" fontId="23" fillId="39" borderId="0" applyNumberFormat="0" applyBorder="0" applyAlignment="0" applyProtection="0"/>
    <xf numFmtId="0" fontId="24" fillId="45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9" fillId="4" borderId="0" applyNumberFormat="0" applyBorder="0" applyAlignment="0" applyProtection="0"/>
    <xf numFmtId="0" fontId="4" fillId="21" borderId="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6" applyNumberFormat="0" applyFill="0" applyAlignment="0" applyProtection="0"/>
    <xf numFmtId="0" fontId="7" fillId="0" borderId="7" applyNumberFormat="0" applyFill="0" applyAlignment="0" applyProtection="0"/>
    <xf numFmtId="0" fontId="8" fillId="0" borderId="8" applyNumberFormat="0" applyFill="0" applyAlignment="0" applyProtection="0"/>
    <xf numFmtId="0" fontId="8" fillId="0" borderId="0" applyNumberFormat="0" applyFill="0" applyBorder="0" applyAlignment="0" applyProtection="0"/>
    <xf numFmtId="0" fontId="15" fillId="22" borderId="9" applyNumberFormat="0" applyAlignment="0" applyProtection="0"/>
    <xf numFmtId="0" fontId="4" fillId="0" borderId="0"/>
  </cellStyleXfs>
  <cellXfs count="353">
    <xf numFmtId="0" fontId="0" fillId="0" borderId="0" xfId="0"/>
    <xf numFmtId="0" fontId="0" fillId="23" borderId="0" xfId="0" applyFill="1"/>
    <xf numFmtId="0" fontId="0" fillId="0" borderId="0" xfId="0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2" xfId="0" applyFon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2" fillId="0" borderId="0" xfId="0" applyFont="1" applyBorder="1"/>
    <xf numFmtId="0" fontId="2" fillId="23" borderId="0" xfId="0" applyFont="1" applyFill="1" applyBorder="1"/>
    <xf numFmtId="164" fontId="0" fillId="23" borderId="0" xfId="0" applyNumberFormat="1" applyFill="1" applyBorder="1"/>
    <xf numFmtId="0" fontId="0" fillId="0" borderId="17" xfId="0" applyBorder="1"/>
    <xf numFmtId="0" fontId="0" fillId="0" borderId="18" xfId="0" applyBorder="1"/>
    <xf numFmtId="0" fontId="2" fillId="0" borderId="0" xfId="0" applyFont="1" applyBorder="1" applyAlignment="1"/>
    <xf numFmtId="0" fontId="0" fillId="24" borderId="19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24" borderId="20" xfId="0" applyFill="1" applyBorder="1" applyAlignment="1">
      <alignment horizontal="center"/>
    </xf>
    <xf numFmtId="0" fontId="2" fillId="0" borderId="13" xfId="0" applyFont="1" applyBorder="1"/>
    <xf numFmtId="0" fontId="4" fillId="24" borderId="21" xfId="0" applyFont="1" applyFill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4" fillId="24" borderId="22" xfId="0" applyFont="1" applyFill="1" applyBorder="1" applyAlignment="1">
      <alignment horizontal="left" vertic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2" fillId="25" borderId="25" xfId="0" applyFont="1" applyFill="1" applyBorder="1" applyAlignment="1">
      <alignment horizontal="center"/>
    </xf>
    <xf numFmtId="0" fontId="4" fillId="24" borderId="26" xfId="0" applyFont="1" applyFill="1" applyBorder="1" applyAlignment="1">
      <alignment horizontal="left" vertical="center"/>
    </xf>
    <xf numFmtId="1" fontId="2" fillId="25" borderId="28" xfId="0" applyNumberFormat="1" applyFont="1" applyFill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16" xfId="0" applyFont="1" applyBorder="1" applyAlignment="1">
      <alignment horizontal="right"/>
    </xf>
    <xf numFmtId="0" fontId="4" fillId="0" borderId="30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0" xfId="0" applyBorder="1"/>
    <xf numFmtId="0" fontId="0" fillId="0" borderId="32" xfId="0" applyBorder="1" applyAlignment="1">
      <alignment horizontal="center"/>
    </xf>
    <xf numFmtId="0" fontId="4" fillId="0" borderId="32" xfId="0" applyFon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" fontId="2" fillId="25" borderId="33" xfId="0" applyNumberFormat="1" applyFont="1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3" fillId="26" borderId="13" xfId="0" applyFont="1" applyFill="1" applyBorder="1" applyAlignment="1">
      <alignment horizontal="center"/>
    </xf>
    <xf numFmtId="0" fontId="3" fillId="26" borderId="17" xfId="0" applyFont="1" applyFill="1" applyBorder="1" applyAlignment="1">
      <alignment horizontal="center"/>
    </xf>
    <xf numFmtId="0" fontId="3" fillId="26" borderId="18" xfId="0" applyFont="1" applyFill="1" applyBorder="1" applyAlignment="1">
      <alignment horizontal="center"/>
    </xf>
    <xf numFmtId="14" fontId="22" fillId="26" borderId="14" xfId="0" applyNumberFormat="1" applyFont="1" applyFill="1" applyBorder="1" applyAlignment="1">
      <alignment horizontal="right"/>
    </xf>
    <xf numFmtId="0" fontId="4" fillId="0" borderId="36" xfId="0" applyFont="1" applyBorder="1"/>
    <xf numFmtId="0" fontId="2" fillId="27" borderId="0" xfId="0" applyFont="1" applyFill="1" applyBorder="1" applyAlignment="1" applyProtection="1">
      <alignment horizontal="center"/>
      <protection locked="0" hidden="1"/>
    </xf>
    <xf numFmtId="0" fontId="2" fillId="27" borderId="37" xfId="0" applyFont="1" applyFill="1" applyBorder="1" applyAlignment="1" applyProtection="1">
      <alignment horizontal="center"/>
      <protection locked="0" hidden="1"/>
    </xf>
    <xf numFmtId="0" fontId="2" fillId="56" borderId="0" xfId="0" applyFont="1" applyFill="1" applyBorder="1" applyAlignment="1" applyProtection="1">
      <alignment horizontal="center"/>
      <protection hidden="1"/>
    </xf>
    <xf numFmtId="1" fontId="2" fillId="27" borderId="19" xfId="0" applyNumberFormat="1" applyFont="1" applyFill="1" applyBorder="1" applyAlignment="1" applyProtection="1">
      <alignment horizontal="center"/>
      <protection locked="0" hidden="1"/>
    </xf>
    <xf numFmtId="0" fontId="0" fillId="0" borderId="0" xfId="0"/>
    <xf numFmtId="0" fontId="0" fillId="0" borderId="0" xfId="0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16" xfId="0" applyBorder="1"/>
    <xf numFmtId="0" fontId="2" fillId="0" borderId="0" xfId="0" applyFont="1" applyBorder="1"/>
    <xf numFmtId="0" fontId="0" fillId="0" borderId="19" xfId="0" applyFill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31" fillId="0" borderId="0" xfId="0" applyFont="1" applyBorder="1"/>
    <xf numFmtId="0" fontId="31" fillId="0" borderId="0" xfId="0" applyFont="1" applyBorder="1" applyAlignment="1">
      <alignment horizontal="center"/>
    </xf>
    <xf numFmtId="0" fontId="0" fillId="0" borderId="0" xfId="0" applyFill="1" applyBorder="1"/>
    <xf numFmtId="3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4" fillId="0" borderId="19" xfId="0" applyFont="1" applyBorder="1" applyAlignment="1">
      <alignment horizontal="center"/>
    </xf>
    <xf numFmtId="0" fontId="2" fillId="0" borderId="44" xfId="0" applyFont="1" applyBorder="1"/>
    <xf numFmtId="0" fontId="4" fillId="0" borderId="19" xfId="0" quotePrefix="1" applyFont="1" applyBorder="1" applyAlignment="1">
      <alignment horizontal="center"/>
    </xf>
    <xf numFmtId="0" fontId="0" fillId="0" borderId="19" xfId="0" applyBorder="1" applyAlignment="1">
      <alignment horizontal="center"/>
    </xf>
    <xf numFmtId="3" fontId="2" fillId="0" borderId="45" xfId="0" applyNumberFormat="1" applyFont="1" applyFill="1" applyBorder="1" applyAlignment="1">
      <alignment horizontal="center"/>
    </xf>
    <xf numFmtId="3" fontId="2" fillId="0" borderId="46" xfId="0" applyNumberFormat="1" applyFont="1" applyFill="1" applyBorder="1" applyAlignment="1">
      <alignment horizontal="center"/>
    </xf>
    <xf numFmtId="3" fontId="2" fillId="0" borderId="47" xfId="0" applyNumberFormat="1" applyFont="1" applyFill="1" applyBorder="1" applyAlignment="1">
      <alignment horizontal="center"/>
    </xf>
    <xf numFmtId="3" fontId="2" fillId="0" borderId="48" xfId="0" applyNumberFormat="1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0" fontId="2" fillId="0" borderId="45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0" fillId="0" borderId="18" xfId="0" applyFill="1" applyBorder="1"/>
    <xf numFmtId="0" fontId="2" fillId="0" borderId="17" xfId="0" applyFont="1" applyFill="1" applyBorder="1"/>
    <xf numFmtId="0" fontId="2" fillId="0" borderId="15" xfId="0" applyFont="1" applyFill="1" applyBorder="1"/>
    <xf numFmtId="3" fontId="2" fillId="24" borderId="47" xfId="0" applyNumberFormat="1" applyFont="1" applyFill="1" applyBorder="1" applyAlignment="1">
      <alignment horizontal="center"/>
    </xf>
    <xf numFmtId="3" fontId="2" fillId="24" borderId="48" xfId="0" applyNumberFormat="1" applyFont="1" applyFill="1" applyBorder="1" applyAlignment="1">
      <alignment horizontal="center"/>
    </xf>
    <xf numFmtId="0" fontId="2" fillId="24" borderId="47" xfId="0" applyFont="1" applyFill="1" applyBorder="1" applyAlignment="1">
      <alignment horizontal="center"/>
    </xf>
    <xf numFmtId="0" fontId="2" fillId="24" borderId="50" xfId="0" applyFont="1" applyFill="1" applyBorder="1" applyAlignment="1">
      <alignment horizontal="center"/>
    </xf>
    <xf numFmtId="0" fontId="2" fillId="24" borderId="49" xfId="0" applyFont="1" applyFill="1" applyBorder="1" applyAlignment="1">
      <alignment horizontal="center"/>
    </xf>
    <xf numFmtId="3" fontId="2" fillId="0" borderId="50" xfId="0" applyNumberFormat="1" applyFont="1" applyFill="1" applyBorder="1" applyAlignment="1">
      <alignment horizontal="center"/>
    </xf>
    <xf numFmtId="0" fontId="2" fillId="0" borderId="51" xfId="0" applyFont="1" applyFill="1" applyBorder="1" applyAlignment="1">
      <alignment horizontal="center"/>
    </xf>
    <xf numFmtId="0" fontId="2" fillId="0" borderId="52" xfId="0" applyFont="1" applyFill="1" applyBorder="1" applyAlignment="1">
      <alignment horizontal="center"/>
    </xf>
    <xf numFmtId="0" fontId="2" fillId="0" borderId="15" xfId="0" applyFont="1" applyBorder="1"/>
    <xf numFmtId="0" fontId="0" fillId="0" borderId="15" xfId="0" applyFill="1" applyBorder="1"/>
    <xf numFmtId="0" fontId="2" fillId="0" borderId="0" xfId="0" applyFont="1" applyFill="1" applyBorder="1" applyAlignment="1">
      <alignment horizontal="left"/>
    </xf>
    <xf numFmtId="0" fontId="32" fillId="0" borderId="16" xfId="0" applyFont="1" applyBorder="1"/>
    <xf numFmtId="0" fontId="2" fillId="0" borderId="0" xfId="0" applyFont="1" applyBorder="1" applyAlignment="1">
      <alignment horizontal="left"/>
    </xf>
    <xf numFmtId="0" fontId="0" fillId="0" borderId="21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4" fillId="0" borderId="31" xfId="0" applyFont="1" applyFill="1" applyBorder="1" applyAlignment="1">
      <alignment horizontal="center"/>
    </xf>
    <xf numFmtId="3" fontId="2" fillId="0" borderId="21" xfId="0" applyNumberFormat="1" applyFont="1" applyFill="1" applyBorder="1" applyAlignment="1">
      <alignment horizontal="center"/>
    </xf>
    <xf numFmtId="3" fontId="2" fillId="0" borderId="10" xfId="0" applyNumberFormat="1" applyFont="1" applyFill="1" applyBorder="1" applyAlignment="1">
      <alignment horizontal="center"/>
    </xf>
    <xf numFmtId="1" fontId="2" fillId="0" borderId="19" xfId="0" applyNumberFormat="1" applyFont="1" applyFill="1" applyBorder="1" applyAlignment="1">
      <alignment horizontal="center"/>
    </xf>
    <xf numFmtId="3" fontId="2" fillId="0" borderId="22" xfId="0" applyNumberFormat="1" applyFont="1" applyFill="1" applyBorder="1" applyAlignment="1">
      <alignment horizontal="center"/>
    </xf>
    <xf numFmtId="3" fontId="2" fillId="0" borderId="11" xfId="0" applyNumberFormat="1" applyFont="1" applyFill="1" applyBorder="1" applyAlignment="1">
      <alignment horizontal="center"/>
    </xf>
    <xf numFmtId="3" fontId="2" fillId="0" borderId="30" xfId="0" applyNumberFormat="1" applyFont="1" applyFill="1" applyBorder="1" applyAlignment="1">
      <alignment horizontal="center"/>
    </xf>
    <xf numFmtId="165" fontId="2" fillId="0" borderId="32" xfId="0" applyNumberFormat="1" applyFont="1" applyFill="1" applyBorder="1" applyAlignment="1">
      <alignment horizontal="center"/>
    </xf>
    <xf numFmtId="3" fontId="2" fillId="0" borderId="31" xfId="0" applyNumberFormat="1" applyFont="1" applyFill="1" applyBorder="1" applyAlignment="1">
      <alignment horizontal="center"/>
    </xf>
    <xf numFmtId="0" fontId="2" fillId="0" borderId="53" xfId="0" applyFont="1" applyFill="1" applyBorder="1" applyAlignment="1">
      <alignment horizontal="right"/>
    </xf>
    <xf numFmtId="0" fontId="2" fillId="0" borderId="54" xfId="0" applyFont="1" applyFill="1" applyBorder="1" applyAlignment="1">
      <alignment horizontal="left"/>
    </xf>
    <xf numFmtId="0" fontId="2" fillId="0" borderId="27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0" fontId="2" fillId="0" borderId="48" xfId="0" applyFont="1" applyFill="1" applyBorder="1" applyAlignment="1">
      <alignment horizontal="left"/>
    </xf>
    <xf numFmtId="0" fontId="2" fillId="0" borderId="19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left"/>
    </xf>
    <xf numFmtId="0" fontId="2" fillId="0" borderId="24" xfId="0" applyFont="1" applyFill="1" applyBorder="1" applyAlignment="1">
      <alignment horizontal="center"/>
    </xf>
    <xf numFmtId="0" fontId="4" fillId="0" borderId="36" xfId="0" applyFont="1" applyFill="1" applyBorder="1"/>
    <xf numFmtId="1" fontId="2" fillId="25" borderId="19" xfId="0" applyNumberFormat="1" applyFont="1" applyFill="1" applyBorder="1" applyAlignment="1">
      <alignment horizontal="center"/>
    </xf>
    <xf numFmtId="1" fontId="33" fillId="58" borderId="0" xfId="0" applyNumberFormat="1" applyFont="1" applyFill="1" applyBorder="1" applyAlignment="1">
      <alignment horizontal="center"/>
    </xf>
    <xf numFmtId="3" fontId="33" fillId="58" borderId="0" xfId="0" applyNumberFormat="1" applyFont="1" applyFill="1" applyBorder="1" applyAlignment="1" applyProtection="1">
      <alignment horizontal="center"/>
      <protection locked="0"/>
    </xf>
    <xf numFmtId="3" fontId="2" fillId="27" borderId="19" xfId="0" applyNumberFormat="1" applyFont="1" applyFill="1" applyBorder="1" applyAlignment="1" applyProtection="1">
      <alignment horizontal="center"/>
      <protection locked="0" hidden="1"/>
    </xf>
    <xf numFmtId="0" fontId="4" fillId="0" borderId="21" xfId="0" applyFont="1" applyFill="1" applyBorder="1" applyAlignment="1">
      <alignment horizontal="center"/>
    </xf>
    <xf numFmtId="165" fontId="0" fillId="0" borderId="19" xfId="0" applyNumberFormat="1" applyBorder="1" applyAlignment="1">
      <alignment horizontal="center"/>
    </xf>
    <xf numFmtId="1" fontId="2" fillId="0" borderId="20" xfId="0" applyNumberFormat="1" applyFont="1" applyFill="1" applyBorder="1" applyAlignment="1">
      <alignment horizontal="center"/>
    </xf>
    <xf numFmtId="0" fontId="2" fillId="27" borderId="19" xfId="85" applyFont="1" applyFill="1" applyBorder="1" applyAlignment="1" applyProtection="1">
      <alignment horizontal="center"/>
      <protection locked="0" hidden="1"/>
    </xf>
    <xf numFmtId="0" fontId="4" fillId="0" borderId="0" xfId="85"/>
    <xf numFmtId="0" fontId="4" fillId="23" borderId="0" xfId="85" applyFill="1"/>
    <xf numFmtId="0" fontId="4" fillId="0" borderId="0" xfId="85" applyBorder="1"/>
    <xf numFmtId="0" fontId="4" fillId="0" borderId="10" xfId="85" applyBorder="1" applyAlignment="1">
      <alignment horizontal="center"/>
    </xf>
    <xf numFmtId="0" fontId="4" fillId="0" borderId="11" xfId="85" applyBorder="1" applyAlignment="1">
      <alignment horizontal="center"/>
    </xf>
    <xf numFmtId="0" fontId="2" fillId="0" borderId="0" xfId="85" applyFont="1" applyBorder="1" applyAlignment="1">
      <alignment horizontal="center"/>
    </xf>
    <xf numFmtId="0" fontId="2" fillId="0" borderId="12" xfId="85" applyFont="1" applyBorder="1"/>
    <xf numFmtId="0" fontId="4" fillId="0" borderId="13" xfId="85" applyBorder="1"/>
    <xf numFmtId="0" fontId="4" fillId="0" borderId="14" xfId="85" applyBorder="1"/>
    <xf numFmtId="0" fontId="4" fillId="0" borderId="15" xfId="85" applyBorder="1"/>
    <xf numFmtId="0" fontId="4" fillId="0" borderId="16" xfId="85" applyBorder="1"/>
    <xf numFmtId="0" fontId="2" fillId="0" borderId="0" xfId="85" applyFont="1" applyBorder="1"/>
    <xf numFmtId="0" fontId="2" fillId="23" borderId="0" xfId="85" applyFont="1" applyFill="1" applyBorder="1"/>
    <xf numFmtId="164" fontId="4" fillId="23" borderId="0" xfId="85" applyNumberFormat="1" applyFill="1" applyBorder="1"/>
    <xf numFmtId="0" fontId="4" fillId="0" borderId="36" xfId="85" applyBorder="1"/>
    <xf numFmtId="0" fontId="4" fillId="0" borderId="17" xfId="85" applyBorder="1"/>
    <xf numFmtId="0" fontId="4" fillId="0" borderId="18" xfId="85" applyBorder="1"/>
    <xf numFmtId="0" fontId="2" fillId="0" borderId="13" xfId="85" applyFont="1" applyBorder="1"/>
    <xf numFmtId="0" fontId="2" fillId="0" borderId="16" xfId="85" applyFont="1" applyBorder="1" applyAlignment="1">
      <alignment horizontal="right"/>
    </xf>
    <xf numFmtId="164" fontId="4" fillId="0" borderId="19" xfId="85" applyNumberFormat="1" applyBorder="1" applyAlignment="1">
      <alignment horizontal="center"/>
    </xf>
    <xf numFmtId="0" fontId="4" fillId="0" borderId="30" xfId="85" applyFont="1" applyBorder="1" applyAlignment="1">
      <alignment horizontal="center"/>
    </xf>
    <xf numFmtId="0" fontId="4" fillId="0" borderId="31" xfId="85" applyFont="1" applyBorder="1" applyAlignment="1">
      <alignment horizontal="center"/>
    </xf>
    <xf numFmtId="0" fontId="4" fillId="0" borderId="21" xfId="85" applyBorder="1" applyAlignment="1">
      <alignment horizontal="center"/>
    </xf>
    <xf numFmtId="0" fontId="4" fillId="0" borderId="22" xfId="85" applyBorder="1" applyAlignment="1">
      <alignment horizontal="center"/>
    </xf>
    <xf numFmtId="0" fontId="4" fillId="0" borderId="30" xfId="85" applyBorder="1"/>
    <xf numFmtId="0" fontId="4" fillId="0" borderId="32" xfId="85" applyBorder="1" applyAlignment="1">
      <alignment horizontal="center"/>
    </xf>
    <xf numFmtId="0" fontId="4" fillId="0" borderId="32" xfId="85" applyFont="1" applyBorder="1" applyAlignment="1">
      <alignment horizontal="center"/>
    </xf>
    <xf numFmtId="1" fontId="4" fillId="0" borderId="19" xfId="85" applyNumberFormat="1" applyBorder="1" applyAlignment="1">
      <alignment horizontal="center"/>
    </xf>
    <xf numFmtId="1" fontId="4" fillId="0" borderId="20" xfId="85" applyNumberFormat="1" applyBorder="1" applyAlignment="1">
      <alignment horizontal="center"/>
    </xf>
    <xf numFmtId="164" fontId="4" fillId="0" borderId="10" xfId="85" applyNumberFormat="1" applyBorder="1" applyAlignment="1">
      <alignment horizontal="center"/>
    </xf>
    <xf numFmtId="1" fontId="2" fillId="25" borderId="10" xfId="85" applyNumberFormat="1" applyFont="1" applyFill="1" applyBorder="1" applyAlignment="1">
      <alignment horizontal="center"/>
    </xf>
    <xf numFmtId="1" fontId="2" fillId="25" borderId="11" xfId="85" applyNumberFormat="1" applyFont="1" applyFill="1" applyBorder="1" applyAlignment="1">
      <alignment horizontal="center"/>
    </xf>
    <xf numFmtId="0" fontId="4" fillId="0" borderId="0" xfId="85" applyBorder="1" applyAlignment="1">
      <alignment horizontal="center"/>
    </xf>
    <xf numFmtId="0" fontId="2" fillId="0" borderId="19" xfId="85" applyFont="1" applyBorder="1" applyAlignment="1">
      <alignment horizontal="center"/>
    </xf>
    <xf numFmtId="14" fontId="22" fillId="26" borderId="14" xfId="85" applyNumberFormat="1" applyFont="1" applyFill="1" applyBorder="1" applyAlignment="1">
      <alignment horizontal="right"/>
    </xf>
    <xf numFmtId="0" fontId="2" fillId="0" borderId="19" xfId="85" applyFont="1" applyFill="1" applyBorder="1" applyAlignment="1">
      <alignment horizontal="center"/>
    </xf>
    <xf numFmtId="0" fontId="2" fillId="25" borderId="31" xfId="85" applyFont="1" applyFill="1" applyBorder="1" applyAlignment="1">
      <alignment horizontal="center"/>
    </xf>
    <xf numFmtId="0" fontId="2" fillId="55" borderId="19" xfId="85" applyFont="1" applyFill="1" applyBorder="1" applyAlignment="1">
      <alignment horizontal="center"/>
    </xf>
    <xf numFmtId="0" fontId="2" fillId="25" borderId="10" xfId="85" applyFont="1" applyFill="1" applyBorder="1" applyAlignment="1">
      <alignment horizontal="center"/>
    </xf>
    <xf numFmtId="0" fontId="2" fillId="24" borderId="21" xfId="85" applyFont="1" applyFill="1" applyBorder="1" applyAlignment="1">
      <alignment horizontal="left" vertical="center"/>
    </xf>
    <xf numFmtId="0" fontId="2" fillId="24" borderId="19" xfId="85" applyFont="1" applyFill="1" applyBorder="1" applyAlignment="1">
      <alignment horizontal="center"/>
    </xf>
    <xf numFmtId="0" fontId="2" fillId="0" borderId="21" xfId="85" applyFont="1" applyFill="1" applyBorder="1" applyAlignment="1">
      <alignment horizontal="left" vertical="center"/>
    </xf>
    <xf numFmtId="0" fontId="2" fillId="55" borderId="21" xfId="85" applyFont="1" applyFill="1" applyBorder="1" applyAlignment="1">
      <alignment horizontal="left" vertical="center"/>
    </xf>
    <xf numFmtId="0" fontId="2" fillId="0" borderId="22" xfId="85" applyFont="1" applyFill="1" applyBorder="1" applyAlignment="1">
      <alignment horizontal="left" vertical="center"/>
    </xf>
    <xf numFmtId="1" fontId="33" fillId="25" borderId="13" xfId="85" applyNumberFormat="1" applyFont="1" applyFill="1" applyBorder="1" applyAlignment="1">
      <alignment horizontal="center"/>
    </xf>
    <xf numFmtId="1" fontId="33" fillId="57" borderId="0" xfId="85" applyNumberFormat="1" applyFont="1" applyFill="1" applyBorder="1" applyAlignment="1">
      <alignment horizontal="center"/>
    </xf>
    <xf numFmtId="164" fontId="4" fillId="0" borderId="0" xfId="85" applyNumberFormat="1" applyAlignment="1">
      <alignment horizontal="center"/>
    </xf>
    <xf numFmtId="0" fontId="34" fillId="0" borderId="0" xfId="85" applyFont="1"/>
    <xf numFmtId="0" fontId="2" fillId="55" borderId="22" xfId="85" applyFont="1" applyFill="1" applyBorder="1" applyAlignment="1">
      <alignment horizontal="left" vertical="center"/>
    </xf>
    <xf numFmtId="0" fontId="2" fillId="55" borderId="20" xfId="85" applyFont="1" applyFill="1" applyBorder="1" applyAlignment="1">
      <alignment horizontal="center"/>
    </xf>
    <xf numFmtId="164" fontId="4" fillId="0" borderId="10" xfId="85" applyNumberFormat="1" applyBorder="1" applyAlignment="1">
      <alignment horizontal="center"/>
    </xf>
    <xf numFmtId="0" fontId="4" fillId="23" borderId="0" xfId="85" applyFill="1"/>
    <xf numFmtId="49" fontId="4" fillId="0" borderId="0" xfId="85" applyNumberFormat="1" applyFont="1"/>
    <xf numFmtId="0" fontId="30" fillId="0" borderId="0" xfId="85" applyFont="1" applyAlignment="1">
      <alignment horizontal="center" vertical="center" readingOrder="1"/>
    </xf>
    <xf numFmtId="0" fontId="4" fillId="0" borderId="0" xfId="85"/>
    <xf numFmtId="0" fontId="4" fillId="0" borderId="0" xfId="85" applyBorder="1"/>
    <xf numFmtId="0" fontId="4" fillId="0" borderId="10" xfId="85" applyBorder="1" applyAlignment="1">
      <alignment horizontal="center"/>
    </xf>
    <xf numFmtId="0" fontId="4" fillId="0" borderId="11" xfId="85" applyBorder="1" applyAlignment="1">
      <alignment horizontal="center"/>
    </xf>
    <xf numFmtId="0" fontId="2" fillId="0" borderId="0" xfId="85" applyFont="1" applyBorder="1" applyAlignment="1">
      <alignment horizontal="center"/>
    </xf>
    <xf numFmtId="0" fontId="2" fillId="0" borderId="12" xfId="85" applyFont="1" applyBorder="1"/>
    <xf numFmtId="0" fontId="4" fillId="0" borderId="13" xfId="85" applyBorder="1"/>
    <xf numFmtId="0" fontId="4" fillId="0" borderId="14" xfId="85" applyBorder="1"/>
    <xf numFmtId="0" fontId="4" fillId="0" borderId="15" xfId="85" applyBorder="1"/>
    <xf numFmtId="0" fontId="4" fillId="0" borderId="16" xfId="85" applyBorder="1"/>
    <xf numFmtId="0" fontId="2" fillId="0" borderId="0" xfId="85" applyFont="1" applyBorder="1"/>
    <xf numFmtId="0" fontId="2" fillId="23" borderId="0" xfId="85" applyFont="1" applyFill="1" applyBorder="1"/>
    <xf numFmtId="164" fontId="4" fillId="23" borderId="0" xfId="85" applyNumberFormat="1" applyFill="1" applyBorder="1"/>
    <xf numFmtId="0" fontId="4" fillId="0" borderId="36" xfId="85" applyBorder="1"/>
    <xf numFmtId="0" fontId="4" fillId="0" borderId="17" xfId="85" applyBorder="1"/>
    <xf numFmtId="0" fontId="4" fillId="0" borderId="18" xfId="85" applyBorder="1"/>
    <xf numFmtId="0" fontId="2" fillId="0" borderId="13" xfId="85" applyFont="1" applyBorder="1"/>
    <xf numFmtId="0" fontId="2" fillId="0" borderId="16" xfId="85" applyFont="1" applyBorder="1" applyAlignment="1">
      <alignment horizontal="right"/>
    </xf>
    <xf numFmtId="0" fontId="4" fillId="0" borderId="30" xfId="85" applyFont="1" applyBorder="1" applyAlignment="1">
      <alignment horizontal="center"/>
    </xf>
    <xf numFmtId="0" fontId="4" fillId="0" borderId="31" xfId="85" applyFont="1" applyBorder="1" applyAlignment="1">
      <alignment horizontal="center"/>
    </xf>
    <xf numFmtId="0" fontId="4" fillId="0" borderId="21" xfId="85" applyBorder="1" applyAlignment="1">
      <alignment horizontal="center"/>
    </xf>
    <xf numFmtId="0" fontId="4" fillId="0" borderId="22" xfId="85" applyBorder="1" applyAlignment="1">
      <alignment horizontal="center"/>
    </xf>
    <xf numFmtId="0" fontId="4" fillId="0" borderId="30" xfId="85" applyBorder="1"/>
    <xf numFmtId="0" fontId="4" fillId="0" borderId="32" xfId="85" applyBorder="1" applyAlignment="1">
      <alignment horizontal="center"/>
    </xf>
    <xf numFmtId="0" fontId="4" fillId="0" borderId="32" xfId="85" applyFont="1" applyBorder="1" applyAlignment="1">
      <alignment horizontal="center"/>
    </xf>
    <xf numFmtId="0" fontId="2" fillId="0" borderId="19" xfId="85" applyFont="1" applyBorder="1" applyAlignment="1">
      <alignment horizontal="center"/>
    </xf>
    <xf numFmtId="14" fontId="22" fillId="26" borderId="14" xfId="85" applyNumberFormat="1" applyFont="1" applyFill="1" applyBorder="1" applyAlignment="1">
      <alignment horizontal="right"/>
    </xf>
    <xf numFmtId="0" fontId="2" fillId="25" borderId="31" xfId="85" applyFont="1" applyFill="1" applyBorder="1" applyAlignment="1">
      <alignment horizontal="center"/>
    </xf>
    <xf numFmtId="0" fontId="2" fillId="25" borderId="10" xfId="85" applyFont="1" applyFill="1" applyBorder="1" applyAlignment="1">
      <alignment horizontal="center"/>
    </xf>
    <xf numFmtId="1" fontId="33" fillId="25" borderId="13" xfId="85" applyNumberFormat="1" applyFont="1" applyFill="1" applyBorder="1" applyAlignment="1">
      <alignment horizontal="center"/>
    </xf>
    <xf numFmtId="1" fontId="33" fillId="57" borderId="0" xfId="85" applyNumberFormat="1" applyFont="1" applyFill="1" applyBorder="1" applyAlignment="1">
      <alignment horizontal="center"/>
    </xf>
    <xf numFmtId="0" fontId="2" fillId="24" borderId="21" xfId="85" applyFont="1" applyFill="1" applyBorder="1" applyAlignment="1">
      <alignment horizontal="left" vertical="center"/>
    </xf>
    <xf numFmtId="0" fontId="2" fillId="24" borderId="19" xfId="85" applyFont="1" applyFill="1" applyBorder="1" applyAlignment="1">
      <alignment horizontal="center"/>
    </xf>
    <xf numFmtId="0" fontId="2" fillId="0" borderId="19" xfId="85" applyFont="1" applyFill="1" applyBorder="1" applyAlignment="1">
      <alignment horizontal="center"/>
    </xf>
    <xf numFmtId="0" fontId="2" fillId="0" borderId="21" xfId="85" applyFont="1" applyFill="1" applyBorder="1" applyAlignment="1">
      <alignment horizontal="left" vertical="center"/>
    </xf>
    <xf numFmtId="0" fontId="2" fillId="0" borderId="22" xfId="85" applyFont="1" applyFill="1" applyBorder="1" applyAlignment="1">
      <alignment horizontal="left" vertical="center"/>
    </xf>
    <xf numFmtId="0" fontId="2" fillId="0" borderId="20" xfId="85" applyFont="1" applyFill="1" applyBorder="1" applyAlignment="1">
      <alignment horizontal="center"/>
    </xf>
    <xf numFmtId="0" fontId="4" fillId="24" borderId="26" xfId="85" applyFont="1" applyFill="1" applyBorder="1" applyAlignment="1">
      <alignment horizontal="left" vertical="center"/>
    </xf>
    <xf numFmtId="1" fontId="4" fillId="0" borderId="19" xfId="85" applyNumberFormat="1" applyBorder="1" applyAlignment="1">
      <alignment horizontal="center"/>
    </xf>
    <xf numFmtId="164" fontId="4" fillId="0" borderId="19" xfId="85" applyNumberFormat="1" applyBorder="1" applyAlignment="1">
      <alignment horizontal="center"/>
    </xf>
    <xf numFmtId="164" fontId="4" fillId="0" borderId="10" xfId="85" applyNumberFormat="1" applyBorder="1" applyAlignment="1">
      <alignment horizontal="center"/>
    </xf>
    <xf numFmtId="0" fontId="4" fillId="0" borderId="21" xfId="85" applyFont="1" applyFill="1" applyBorder="1" applyAlignment="1">
      <alignment horizontal="left" vertical="center"/>
    </xf>
    <xf numFmtId="0" fontId="4" fillId="24" borderId="21" xfId="85" applyFont="1" applyFill="1" applyBorder="1" applyAlignment="1">
      <alignment horizontal="left" vertical="center"/>
    </xf>
    <xf numFmtId="164" fontId="2" fillId="25" borderId="10" xfId="85" applyNumberFormat="1" applyFont="1" applyFill="1" applyBorder="1" applyAlignment="1">
      <alignment horizontal="center"/>
    </xf>
    <xf numFmtId="164" fontId="2" fillId="25" borderId="11" xfId="85" applyNumberFormat="1" applyFont="1" applyFill="1" applyBorder="1" applyAlignment="1">
      <alignment horizontal="center"/>
    </xf>
    <xf numFmtId="0" fontId="3" fillId="26" borderId="12" xfId="85" applyFont="1" applyFill="1" applyBorder="1" applyAlignment="1">
      <alignment horizontal="center"/>
    </xf>
    <xf numFmtId="0" fontId="3" fillId="26" borderId="13" xfId="85" applyFont="1" applyFill="1" applyBorder="1" applyAlignment="1">
      <alignment horizontal="center"/>
    </xf>
    <xf numFmtId="0" fontId="3" fillId="26" borderId="36" xfId="85" applyFont="1" applyFill="1" applyBorder="1" applyAlignment="1">
      <alignment horizontal="center"/>
    </xf>
    <xf numFmtId="0" fontId="3" fillId="26" borderId="17" xfId="85" applyFont="1" applyFill="1" applyBorder="1" applyAlignment="1">
      <alignment horizontal="center"/>
    </xf>
    <xf numFmtId="0" fontId="3" fillId="26" borderId="18" xfId="85" applyFont="1" applyFill="1" applyBorder="1" applyAlignment="1">
      <alignment horizontal="center"/>
    </xf>
    <xf numFmtId="0" fontId="2" fillId="0" borderId="30" xfId="85" applyFont="1" applyBorder="1" applyAlignment="1">
      <alignment horizontal="center"/>
    </xf>
    <xf numFmtId="0" fontId="2" fillId="0" borderId="21" xfId="85" applyFont="1" applyBorder="1" applyAlignment="1">
      <alignment horizontal="center"/>
    </xf>
    <xf numFmtId="0" fontId="2" fillId="0" borderId="32" xfId="85" applyFont="1" applyBorder="1" applyAlignment="1">
      <alignment horizont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3" fillId="26" borderId="12" xfId="0" applyFont="1" applyFill="1" applyBorder="1" applyAlignment="1">
      <alignment horizontal="center"/>
    </xf>
    <xf numFmtId="0" fontId="3" fillId="26" borderId="13" xfId="0" applyFont="1" applyFill="1" applyBorder="1" applyAlignment="1">
      <alignment horizontal="center"/>
    </xf>
    <xf numFmtId="0" fontId="3" fillId="26" borderId="36" xfId="0" applyFont="1" applyFill="1" applyBorder="1" applyAlignment="1">
      <alignment horizontal="center"/>
    </xf>
    <xf numFmtId="0" fontId="3" fillId="26" borderId="17" xfId="0" applyFont="1" applyFill="1" applyBorder="1" applyAlignment="1">
      <alignment horizontal="center"/>
    </xf>
    <xf numFmtId="0" fontId="2" fillId="0" borderId="38" xfId="85" applyFont="1" applyBorder="1" applyAlignment="1">
      <alignment horizontal="center"/>
    </xf>
    <xf numFmtId="0" fontId="2" fillId="0" borderId="58" xfId="85" applyFont="1" applyBorder="1" applyAlignment="1">
      <alignment horizontal="center"/>
    </xf>
    <xf numFmtId="0" fontId="2" fillId="0" borderId="40" xfId="85" applyFont="1" applyBorder="1" applyAlignment="1">
      <alignment horizontal="center"/>
    </xf>
    <xf numFmtId="0" fontId="2" fillId="0" borderId="41" xfId="85" applyFont="1" applyBorder="1" applyAlignment="1">
      <alignment horizontal="center"/>
    </xf>
    <xf numFmtId="0" fontId="3" fillId="26" borderId="16" xfId="0" applyFont="1" applyFill="1" applyBorder="1" applyAlignment="1">
      <alignment horizontal="center"/>
    </xf>
    <xf numFmtId="0" fontId="3" fillId="26" borderId="0" xfId="0" applyFont="1" applyFill="1" applyBorder="1" applyAlignment="1">
      <alignment horizontal="center"/>
    </xf>
    <xf numFmtId="0" fontId="3" fillId="26" borderId="15" xfId="0" applyFont="1" applyFill="1" applyBorder="1" applyAlignment="1">
      <alignment horizontal="center"/>
    </xf>
    <xf numFmtId="0" fontId="2" fillId="0" borderId="56" xfId="0" applyFont="1" applyFill="1" applyBorder="1" applyAlignment="1">
      <alignment horizontal="center"/>
    </xf>
    <xf numFmtId="0" fontId="2" fillId="0" borderId="57" xfId="0" applyFont="1" applyFill="1" applyBorder="1" applyAlignment="1">
      <alignment horizontal="center"/>
    </xf>
    <xf numFmtId="0" fontId="3" fillId="26" borderId="14" xfId="0" applyFont="1" applyFill="1" applyBorder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11" xfId="0" applyFill="1" applyBorder="1" applyAlignment="1">
      <alignment horizontal="center"/>
    </xf>
    <xf numFmtId="2" fontId="0" fillId="0" borderId="20" xfId="0" applyNumberForma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2" fontId="0" fillId="0" borderId="19" xfId="0" applyNumberFormat="1" applyBorder="1" applyAlignment="1">
      <alignment horizontal="center"/>
    </xf>
    <xf numFmtId="1" fontId="0" fillId="0" borderId="19" xfId="0" applyNumberForma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2" fontId="2" fillId="0" borderId="20" xfId="0" applyNumberFormat="1" applyFont="1" applyFill="1" applyBorder="1" applyAlignment="1">
      <alignment horizontal="center"/>
    </xf>
    <xf numFmtId="2" fontId="2" fillId="0" borderId="19" xfId="0" applyNumberFormat="1" applyFont="1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7" xfId="0" applyFont="1" applyBorder="1"/>
    <xf numFmtId="0" fontId="0" fillId="0" borderId="0" xfId="0" applyBorder="1" applyAlignment="1">
      <alignment horizontal="center"/>
    </xf>
    <xf numFmtId="0" fontId="2" fillId="0" borderId="0" xfId="0" applyFont="1"/>
    <xf numFmtId="0" fontId="2" fillId="24" borderId="11" xfId="0" applyFont="1" applyFill="1" applyBorder="1" applyAlignment="1">
      <alignment horizontal="center"/>
    </xf>
    <xf numFmtId="164" fontId="2" fillId="24" borderId="20" xfId="0" applyNumberFormat="1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164" fontId="2" fillId="0" borderId="19" xfId="0" applyNumberFormat="1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164" fontId="2" fillId="24" borderId="19" xfId="0" applyNumberFormat="1" applyFont="1" applyFill="1" applyBorder="1" applyAlignment="1">
      <alignment horizontal="center"/>
    </xf>
    <xf numFmtId="0" fontId="2" fillId="24" borderId="21" xfId="0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35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 applyAlignment="1">
      <alignment horizontal="left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center"/>
    </xf>
    <xf numFmtId="3" fontId="35" fillId="0" borderId="0" xfId="0" applyNumberFormat="1" applyFont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36" fillId="0" borderId="0" xfId="0" applyFont="1" applyBorder="1"/>
    <xf numFmtId="164" fontId="2" fillId="0" borderId="19" xfId="0" applyNumberFormat="1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/>
    </xf>
    <xf numFmtId="0" fontId="31" fillId="0" borderId="19" xfId="0" applyFont="1" applyFill="1" applyBorder="1" applyAlignment="1">
      <alignment horizontal="center"/>
    </xf>
    <xf numFmtId="0" fontId="31" fillId="0" borderId="21" xfId="0" applyFont="1" applyFill="1" applyBorder="1" applyAlignment="1">
      <alignment horizontal="center"/>
    </xf>
    <xf numFmtId="0" fontId="37" fillId="0" borderId="0" xfId="0" applyFont="1" applyBorder="1"/>
    <xf numFmtId="0" fontId="2" fillId="0" borderId="19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164" fontId="0" fillId="0" borderId="0" xfId="0" applyNumberFormat="1" applyBorder="1"/>
    <xf numFmtId="0" fontId="31" fillId="0" borderId="16" xfId="0" applyFont="1" applyFill="1" applyBorder="1" applyAlignment="1">
      <alignment horizontal="left"/>
    </xf>
    <xf numFmtId="0" fontId="2" fillId="0" borderId="0" xfId="0" quotePrefix="1" applyFont="1" applyFill="1" applyBorder="1"/>
    <xf numFmtId="3" fontId="2" fillId="0" borderId="0" xfId="0" applyNumberFormat="1" applyFont="1" applyFill="1" applyBorder="1" applyAlignment="1">
      <alignment horizontal="left"/>
    </xf>
    <xf numFmtId="164" fontId="2" fillId="25" borderId="19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2" fillId="0" borderId="16" xfId="0" applyFont="1" applyBorder="1" applyAlignment="1">
      <alignment horizontal="center"/>
    </xf>
    <xf numFmtId="1" fontId="33" fillId="57" borderId="0" xfId="0" applyNumberFormat="1" applyFont="1" applyFill="1" applyBorder="1" applyAlignment="1">
      <alignment horizontal="center"/>
    </xf>
    <xf numFmtId="3" fontId="33" fillId="27" borderId="0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25" borderId="11" xfId="0" applyFont="1" applyFill="1" applyBorder="1" applyAlignment="1">
      <alignment horizontal="center"/>
    </xf>
    <xf numFmtId="0" fontId="2" fillId="25" borderId="59" xfId="0" applyFont="1" applyFill="1" applyBorder="1" applyAlignment="1">
      <alignment horizontal="center"/>
    </xf>
    <xf numFmtId="0" fontId="2" fillId="0" borderId="22" xfId="0" applyFont="1" applyBorder="1" applyAlignment="1"/>
    <xf numFmtId="166" fontId="2" fillId="0" borderId="20" xfId="0" applyNumberFormat="1" applyFont="1" applyFill="1" applyBorder="1" applyAlignment="1">
      <alignment horizontal="right"/>
    </xf>
    <xf numFmtId="0" fontId="0" fillId="0" borderId="20" xfId="0" applyBorder="1"/>
    <xf numFmtId="0" fontId="2" fillId="0" borderId="22" xfId="0" applyFont="1" applyBorder="1" applyAlignment="1">
      <alignment horizontal="center" vertical="center"/>
    </xf>
    <xf numFmtId="0" fontId="2" fillId="25" borderId="61" xfId="0" applyFont="1" applyFill="1" applyBorder="1" applyAlignment="1">
      <alignment horizontal="center"/>
    </xf>
    <xf numFmtId="164" fontId="2" fillId="25" borderId="59" xfId="0" applyNumberFormat="1" applyFont="1" applyFill="1" applyBorder="1" applyAlignment="1">
      <alignment horizontal="center"/>
    </xf>
    <xf numFmtId="164" fontId="2" fillId="25" borderId="60" xfId="0" applyNumberFormat="1" applyFont="1" applyFill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3" xfId="0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0" fillId="0" borderId="63" xfId="0" applyBorder="1" applyAlignment="1"/>
    <xf numFmtId="0" fontId="0" fillId="0" borderId="64" xfId="0" applyBorder="1" applyAlignment="1">
      <alignment horizontal="center"/>
    </xf>
    <xf numFmtId="0" fontId="0" fillId="0" borderId="65" xfId="0" applyBorder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25" borderId="29" xfId="0" applyFont="1" applyFill="1" applyBorder="1" applyAlignment="1">
      <alignment horizontal="center"/>
    </xf>
    <xf numFmtId="0" fontId="2" fillId="25" borderId="40" xfId="0" applyFont="1" applyFill="1" applyBorder="1" applyAlignment="1">
      <alignment horizontal="center"/>
    </xf>
    <xf numFmtId="0" fontId="2" fillId="25" borderId="65" xfId="0" applyFont="1" applyFill="1" applyBorder="1" applyAlignment="1">
      <alignment horizontal="center"/>
    </xf>
    <xf numFmtId="0" fontId="2" fillId="25" borderId="66" xfId="0" applyFont="1" applyFill="1" applyBorder="1" applyAlignment="1">
      <alignment horizontal="center"/>
    </xf>
    <xf numFmtId="0" fontId="2" fillId="0" borderId="21" xfId="0" applyFont="1" applyBorder="1" applyAlignment="1"/>
    <xf numFmtId="166" fontId="2" fillId="0" borderId="19" xfId="0" applyNumberFormat="1" applyFont="1" applyFill="1" applyBorder="1" applyAlignment="1">
      <alignment horizontal="right"/>
    </xf>
    <xf numFmtId="0" fontId="0" fillId="0" borderId="19" xfId="0" applyBorder="1"/>
    <xf numFmtId="0" fontId="2" fillId="0" borderId="58" xfId="0" applyFont="1" applyBorder="1" applyAlignment="1">
      <alignment horizontal="center" vertical="center"/>
    </xf>
    <xf numFmtId="0" fontId="0" fillId="0" borderId="0" xfId="0" applyFill="1"/>
    <xf numFmtId="0" fontId="2" fillId="25" borderId="31" xfId="0" applyFont="1" applyFill="1" applyBorder="1" applyAlignment="1">
      <alignment horizontal="center"/>
    </xf>
    <xf numFmtId="0" fontId="2" fillId="25" borderId="41" xfId="0" applyFont="1" applyFill="1" applyBorder="1" applyAlignment="1">
      <alignment horizontal="center"/>
    </xf>
    <xf numFmtId="0" fontId="2" fillId="0" borderId="29" xfId="0" applyFont="1" applyBorder="1" applyAlignment="1">
      <alignment horizontal="right"/>
    </xf>
    <xf numFmtId="0" fontId="2" fillId="0" borderId="67" xfId="0" applyFont="1" applyBorder="1" applyAlignment="1">
      <alignment horizontal="right"/>
    </xf>
    <xf numFmtId="0" fontId="2" fillId="0" borderId="68" xfId="0" applyFont="1" applyBorder="1" applyAlignment="1">
      <alignment horizontal="right"/>
    </xf>
    <xf numFmtId="0" fontId="2" fillId="0" borderId="40" xfId="0" applyFont="1" applyBorder="1" applyAlignment="1">
      <alignment horizontal="right"/>
    </xf>
    <xf numFmtId="164" fontId="2" fillId="0" borderId="0" xfId="0" applyNumberFormat="1" applyFont="1" applyFill="1" applyBorder="1" applyAlignment="1">
      <alignment horizontal="left"/>
    </xf>
    <xf numFmtId="3" fontId="2" fillId="0" borderId="0" xfId="0" quotePrefix="1" applyNumberFormat="1" applyFont="1" applyFill="1" applyBorder="1" applyAlignment="1">
      <alignment horizontal="center"/>
    </xf>
    <xf numFmtId="0" fontId="31" fillId="0" borderId="0" xfId="0" applyFont="1"/>
    <xf numFmtId="0" fontId="3" fillId="26" borderId="18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3" fillId="26" borderId="12" xfId="0" applyFont="1" applyFill="1" applyBorder="1" applyAlignment="1">
      <alignment horizontal="left"/>
    </xf>
    <xf numFmtId="0" fontId="2" fillId="27" borderId="65" xfId="0" applyNumberFormat="1" applyFont="1" applyFill="1" applyBorder="1" applyAlignment="1" applyProtection="1">
      <alignment horizontal="center"/>
      <protection locked="0" hidden="1"/>
    </xf>
    <xf numFmtId="49" fontId="2" fillId="27" borderId="60" xfId="0" applyNumberFormat="1" applyFont="1" applyFill="1" applyBorder="1" applyAlignment="1" applyProtection="1">
      <alignment horizontal="center"/>
      <protection locked="0" hidden="1"/>
    </xf>
    <xf numFmtId="164" fontId="2" fillId="27" borderId="19" xfId="0" applyNumberFormat="1" applyFont="1" applyFill="1" applyBorder="1" applyAlignment="1" applyProtection="1">
      <alignment horizontal="center"/>
      <protection locked="0" hidden="1"/>
    </xf>
    <xf numFmtId="1" fontId="2" fillId="27" borderId="10" xfId="0" applyNumberFormat="1" applyFont="1" applyFill="1" applyBorder="1" applyAlignment="1" applyProtection="1">
      <alignment horizontal="center"/>
      <protection locked="0" hidden="1"/>
    </xf>
    <xf numFmtId="1" fontId="2" fillId="27" borderId="11" xfId="0" applyNumberFormat="1" applyFont="1" applyFill="1" applyBorder="1" applyAlignment="1" applyProtection="1">
      <alignment horizontal="center"/>
      <protection locked="0" hidden="1"/>
    </xf>
  </cellXfs>
  <cellStyles count="86">
    <cellStyle name="20 % - Akzent1" xfId="1"/>
    <cellStyle name="20 % - Akzent1 2" xfId="61"/>
    <cellStyle name="20 % - Akzent2" xfId="2"/>
    <cellStyle name="20 % - Akzent2 2" xfId="62"/>
    <cellStyle name="20 % - Akzent3" xfId="3"/>
    <cellStyle name="20 % - Akzent3 2" xfId="63"/>
    <cellStyle name="20 % - Akzent4" xfId="4"/>
    <cellStyle name="20 % - Akzent4 2" xfId="64"/>
    <cellStyle name="20 % - Akzent5" xfId="5"/>
    <cellStyle name="20 % - Akzent5 2" xfId="65"/>
    <cellStyle name="20 % - Akzent6" xfId="6"/>
    <cellStyle name="20 % - Akzent6 2" xfId="66"/>
    <cellStyle name="20 % - Accent1" xfId="38" builtinId="30" hidden="1"/>
    <cellStyle name="20 % - Accent2" xfId="42" builtinId="34" hidden="1"/>
    <cellStyle name="20 % - Accent3" xfId="46" builtinId="38" hidden="1"/>
    <cellStyle name="20 % - Accent4" xfId="50" builtinId="42" hidden="1"/>
    <cellStyle name="20 % - Accent5" xfId="54" builtinId="46" hidden="1"/>
    <cellStyle name="20 % - Accent6" xfId="58" builtinId="50" hidden="1"/>
    <cellStyle name="40 % - Akzent1" xfId="7"/>
    <cellStyle name="40 % - Akzent1 2" xfId="67"/>
    <cellStyle name="40 % - Akzent2" xfId="8"/>
    <cellStyle name="40 % - Akzent2 2" xfId="68"/>
    <cellStyle name="40 % - Akzent3" xfId="9"/>
    <cellStyle name="40 % - Akzent3 2" xfId="69"/>
    <cellStyle name="40 % - Akzent4" xfId="10"/>
    <cellStyle name="40 % - Akzent4 2" xfId="70"/>
    <cellStyle name="40 % - Akzent5" xfId="11"/>
    <cellStyle name="40 % - Akzent5 2" xfId="71"/>
    <cellStyle name="40 % - Akzent6" xfId="12"/>
    <cellStyle name="40 % - Akzent6 2" xfId="72"/>
    <cellStyle name="40 % - Accent1" xfId="39" builtinId="31" hidden="1"/>
    <cellStyle name="40 % - Accent2" xfId="43" builtinId="35" hidden="1"/>
    <cellStyle name="40 % - Accent3" xfId="47" builtinId="39" hidden="1"/>
    <cellStyle name="40 % - Accent4" xfId="51" builtinId="43" hidden="1"/>
    <cellStyle name="40 % - Accent5" xfId="55" builtinId="47" hidden="1"/>
    <cellStyle name="40 % - Accent6" xfId="59" builtinId="51" hidden="1"/>
    <cellStyle name="60 % - Akzent1" xfId="13"/>
    <cellStyle name="60 % - Akzent2" xfId="14"/>
    <cellStyle name="60 % - Akzent3" xfId="15"/>
    <cellStyle name="60 % - Akzent4" xfId="16"/>
    <cellStyle name="60 % - Akzent5" xfId="17"/>
    <cellStyle name="60 % - Akzent6" xfId="18"/>
    <cellStyle name="60 % - Accent1" xfId="40" builtinId="32" hidden="1"/>
    <cellStyle name="60 % - Accent2" xfId="44" builtinId="36" hidden="1"/>
    <cellStyle name="60 % - Accent3" xfId="48" builtinId="40" hidden="1"/>
    <cellStyle name="60 % - Accent4" xfId="52" builtinId="44" hidden="1"/>
    <cellStyle name="60 % - Accent5" xfId="56" builtinId="48" hidden="1"/>
    <cellStyle name="60 % - Accent6" xfId="60" builtinId="52" hidden="1"/>
    <cellStyle name="Accent1" xfId="37" builtinId="29" hidden="1"/>
    <cellStyle name="Accent2" xfId="41" builtinId="33" hidden="1"/>
    <cellStyle name="Accent3" xfId="45" builtinId="37" hidden="1"/>
    <cellStyle name="Accent4" xfId="49" builtinId="41" hidden="1"/>
    <cellStyle name="Accent5" xfId="53" builtinId="45" hidden="1"/>
    <cellStyle name="Accent6" xfId="57" builtinId="49" hidden="1"/>
    <cellStyle name="Akzent1" xfId="19"/>
    <cellStyle name="Akzent2" xfId="20"/>
    <cellStyle name="Akzent3" xfId="21"/>
    <cellStyle name="Akzent4" xfId="22"/>
    <cellStyle name="Akzent5" xfId="23"/>
    <cellStyle name="Akzent6" xfId="24"/>
    <cellStyle name="Ausgabe" xfId="25"/>
    <cellStyle name="Berechnung" xfId="26"/>
    <cellStyle name="Calcul" xfId="35" builtinId="22" hidden="1"/>
    <cellStyle name="Eingabe" xfId="27"/>
    <cellStyle name="Entrée" xfId="33" builtinId="20" hidden="1"/>
    <cellStyle name="Ergebnis" xfId="28"/>
    <cellStyle name="Erklärender Text" xfId="29"/>
    <cellStyle name="Gut" xfId="73"/>
    <cellStyle name="Insatisfaisant" xfId="32" builtinId="27" hidden="1"/>
    <cellStyle name="Normal" xfId="0" builtinId="0"/>
    <cellStyle name="Normal 2" xfId="85"/>
    <cellStyle name="Notiz" xfId="74"/>
    <cellStyle name="Procent 2" xfId="30"/>
    <cellStyle name="Procent 2 2" xfId="76"/>
    <cellStyle name="Procent 2 3" xfId="75"/>
    <cellStyle name="Schlecht" xfId="31"/>
    <cellStyle name="Sortie" xfId="34" builtinId="21" hidden="1"/>
    <cellStyle name="Texte explicatif" xfId="36" builtinId="53" hidden="1"/>
    <cellStyle name="Überschrift" xfId="79"/>
    <cellStyle name="Überschrift 1" xfId="80"/>
    <cellStyle name="Überschrift 2" xfId="81"/>
    <cellStyle name="Überschrift 3" xfId="82"/>
    <cellStyle name="Überschrift 4" xfId="83"/>
    <cellStyle name="Verknüpfte Zelle" xfId="77"/>
    <cellStyle name="Warnender Text" xfId="78"/>
    <cellStyle name="Zelle überprüfen" xfId="84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3"/>
            <c:dispRSqr val="0"/>
            <c:dispEq val="1"/>
            <c:trendlineLbl>
              <c:layout>
                <c:manualLayout>
                  <c:x val="-2.7644479159375911E-3"/>
                  <c:y val="-9.8615007451490211E-2"/>
                </c:manualLayout>
              </c:layout>
              <c:numFmt formatCode="#,##0.000" sourceLinked="0"/>
            </c:trendlineLbl>
          </c:trendline>
          <c:xVal>
            <c:numRef>
              <c:f>'VFL OPTIMA'!$E$32:$E$36</c:f>
            </c:numRef>
          </c:xVal>
          <c:yVal>
            <c:numRef>
              <c:f>'VFL OPTIMA'!$F$32:$F$36</c:f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06848"/>
        <c:axId val="79607424"/>
      </c:scatterChart>
      <c:valAx>
        <c:axId val="7960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79607424"/>
        <c:crosses val="autoZero"/>
        <c:crossBetween val="midCat"/>
      </c:valAx>
      <c:valAx>
        <c:axId val="79607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96068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4"/>
            <c:dispRSqr val="0"/>
            <c:dispEq val="1"/>
            <c:trendlineLbl>
              <c:layout>
                <c:manualLayout>
                  <c:x val="2.6836395450568679E-2"/>
                  <c:y val="-1.4363517060367453E-2"/>
                </c:manualLayout>
              </c:layout>
              <c:numFmt formatCode="#,##0.000000" sourceLinked="0"/>
            </c:trendlineLbl>
          </c:trendline>
          <c:xVal>
            <c:numRef>
              <c:f>'VFL OPTIMA Flange '!$E$40:$E$43</c:f>
            </c:numRef>
          </c:xVal>
          <c:yVal>
            <c:numRef>
              <c:f>'VFL OPTIMA Flange '!$F$40:$F$43</c:f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756224"/>
        <c:axId val="156756800"/>
      </c:scatterChart>
      <c:valAx>
        <c:axId val="15675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56756800"/>
        <c:crosses val="autoZero"/>
        <c:crossBetween val="midCat"/>
      </c:valAx>
      <c:valAx>
        <c:axId val="156756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7562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png"/><Relationship Id="rId1" Type="http://schemas.openxmlformats.org/officeDocument/2006/relationships/chart" Target="../charts/chart2.xml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emf"/><Relationship Id="rId1" Type="http://schemas.openxmlformats.org/officeDocument/2006/relationships/image" Target="../media/image1.png"/><Relationship Id="rId4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0</xdr:row>
      <xdr:rowOff>47625</xdr:rowOff>
    </xdr:from>
    <xdr:to>
      <xdr:col>8</xdr:col>
      <xdr:colOff>723900</xdr:colOff>
      <xdr:row>1</xdr:row>
      <xdr:rowOff>209550</xdr:rowOff>
    </xdr:to>
    <xdr:pic>
      <xdr:nvPicPr>
        <xdr:cNvPr id="3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47625"/>
          <a:ext cx="1800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485775</xdr:colOff>
      <xdr:row>23</xdr:row>
      <xdr:rowOff>57150</xdr:rowOff>
    </xdr:from>
    <xdr:to>
      <xdr:col>8</xdr:col>
      <xdr:colOff>590550</xdr:colOff>
      <xdr:row>35</xdr:row>
      <xdr:rowOff>57150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4019550"/>
          <a:ext cx="3152775" cy="196215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1447800</xdr:colOff>
      <xdr:row>26</xdr:row>
      <xdr:rowOff>57150</xdr:rowOff>
    </xdr:from>
    <xdr:to>
      <xdr:col>1</xdr:col>
      <xdr:colOff>609600</xdr:colOff>
      <xdr:row>34</xdr:row>
      <xdr:rowOff>152400</xdr:rowOff>
    </xdr:to>
    <xdr:pic>
      <xdr:nvPicPr>
        <xdr:cNvPr id="5" name="Picture 3" descr="OPTIMA Compact pre setti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24375"/>
          <a:ext cx="1428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733425</xdr:colOff>
      <xdr:row>4</xdr:row>
      <xdr:rowOff>152400</xdr:rowOff>
    </xdr:from>
    <xdr:to>
      <xdr:col>8</xdr:col>
      <xdr:colOff>133350</xdr:colOff>
      <xdr:row>15</xdr:row>
      <xdr:rowOff>66675</xdr:rowOff>
    </xdr:to>
    <xdr:pic>
      <xdr:nvPicPr>
        <xdr:cNvPr id="6" name="Picture 37" descr="VFL+AXS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1019175"/>
          <a:ext cx="16859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29</xdr:row>
      <xdr:rowOff>76200</xdr:rowOff>
    </xdr:from>
    <xdr:to>
      <xdr:col>13</xdr:col>
      <xdr:colOff>190500</xdr:colOff>
      <xdr:row>59</xdr:row>
      <xdr:rowOff>57150</xdr:rowOff>
    </xdr:to>
    <xdr:graphicFrame macro="">
      <xdr:nvGraphicFramePr>
        <xdr:cNvPr id="2383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333375</xdr:colOff>
      <xdr:row>15</xdr:row>
      <xdr:rowOff>95250</xdr:rowOff>
    </xdr:from>
    <xdr:to>
      <xdr:col>1</xdr:col>
      <xdr:colOff>390525</xdr:colOff>
      <xdr:row>25</xdr:row>
      <xdr:rowOff>38100</xdr:rowOff>
    </xdr:to>
    <xdr:pic>
      <xdr:nvPicPr>
        <xdr:cNvPr id="23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800350"/>
          <a:ext cx="163830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1028700</xdr:colOff>
      <xdr:row>16</xdr:row>
      <xdr:rowOff>152400</xdr:rowOff>
    </xdr:from>
    <xdr:to>
      <xdr:col>8</xdr:col>
      <xdr:colOff>685800</xdr:colOff>
      <xdr:row>27</xdr:row>
      <xdr:rowOff>114300</xdr:rowOff>
    </xdr:to>
    <xdr:pic>
      <xdr:nvPicPr>
        <xdr:cNvPr id="23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028950"/>
          <a:ext cx="284797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16</xdr:row>
      <xdr:rowOff>123825</xdr:rowOff>
    </xdr:from>
    <xdr:to>
      <xdr:col>3</xdr:col>
      <xdr:colOff>638175</xdr:colOff>
      <xdr:row>26</xdr:row>
      <xdr:rowOff>114300</xdr:rowOff>
    </xdr:to>
    <xdr:pic>
      <xdr:nvPicPr>
        <xdr:cNvPr id="2386" name="Picture 18" descr="AVM+Optima2"/>
        <xdr:cNvPicPr>
          <a:picLocks noGrp="1"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3000375"/>
          <a:ext cx="15049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219075</xdr:colOff>
      <xdr:row>0</xdr:row>
      <xdr:rowOff>57150</xdr:rowOff>
    </xdr:from>
    <xdr:to>
      <xdr:col>8</xdr:col>
      <xdr:colOff>1304925</xdr:colOff>
      <xdr:row>1</xdr:row>
      <xdr:rowOff>219075</xdr:rowOff>
    </xdr:to>
    <xdr:pic>
      <xdr:nvPicPr>
        <xdr:cNvPr id="2387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57150"/>
          <a:ext cx="1800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37</xdr:row>
      <xdr:rowOff>0</xdr:rowOff>
    </xdr:from>
    <xdr:to>
      <xdr:col>10</xdr:col>
      <xdr:colOff>1571625</xdr:colOff>
      <xdr:row>53</xdr:row>
      <xdr:rowOff>114300</xdr:rowOff>
    </xdr:to>
    <xdr:graphicFrame macro="">
      <xdr:nvGraphicFramePr>
        <xdr:cNvPr id="3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200025</xdr:colOff>
      <xdr:row>18</xdr:row>
      <xdr:rowOff>104775</xdr:rowOff>
    </xdr:from>
    <xdr:to>
      <xdr:col>8</xdr:col>
      <xdr:colOff>1171575</xdr:colOff>
      <xdr:row>32</xdr:row>
      <xdr:rowOff>76201</xdr:rowOff>
    </xdr:to>
    <xdr:pic>
      <xdr:nvPicPr>
        <xdr:cNvPr id="5" name="Billede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8" t="1780" r="8305" b="412"/>
        <a:stretch/>
      </xdr:blipFill>
      <xdr:spPr>
        <a:xfrm>
          <a:off x="4829175" y="3257550"/>
          <a:ext cx="3590925" cy="225742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25</xdr:row>
      <xdr:rowOff>47625</xdr:rowOff>
    </xdr:from>
    <xdr:to>
      <xdr:col>2</xdr:col>
      <xdr:colOff>476250</xdr:colOff>
      <xdr:row>32</xdr:row>
      <xdr:rowOff>152400</xdr:rowOff>
    </xdr:to>
    <xdr:pic>
      <xdr:nvPicPr>
        <xdr:cNvPr id="6" name="Billed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4352925"/>
          <a:ext cx="13430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552450</xdr:colOff>
      <xdr:row>6</xdr:row>
      <xdr:rowOff>104775</xdr:rowOff>
    </xdr:from>
    <xdr:to>
      <xdr:col>7</xdr:col>
      <xdr:colOff>504825</xdr:colOff>
      <xdr:row>18</xdr:row>
      <xdr:rowOff>76200</xdr:rowOff>
    </xdr:to>
    <xdr:pic>
      <xdr:nvPicPr>
        <xdr:cNvPr id="7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1295400"/>
          <a:ext cx="114300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409575</xdr:colOff>
      <xdr:row>0</xdr:row>
      <xdr:rowOff>76200</xdr:rowOff>
    </xdr:from>
    <xdr:to>
      <xdr:col>13</xdr:col>
      <xdr:colOff>685800</xdr:colOff>
      <xdr:row>1</xdr:row>
      <xdr:rowOff>228600</xdr:rowOff>
    </xdr:to>
    <xdr:pic>
      <xdr:nvPicPr>
        <xdr:cNvPr id="2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76200"/>
          <a:ext cx="1800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17</xdr:row>
      <xdr:rowOff>28575</xdr:rowOff>
    </xdr:from>
    <xdr:to>
      <xdr:col>13</xdr:col>
      <xdr:colOff>685800</xdr:colOff>
      <xdr:row>29</xdr:row>
      <xdr:rowOff>66675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067050"/>
          <a:ext cx="415290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0</xdr:rowOff>
    </xdr:from>
    <xdr:to>
      <xdr:col>11</xdr:col>
      <xdr:colOff>95250</xdr:colOff>
      <xdr:row>17</xdr:row>
      <xdr:rowOff>142875</xdr:rowOff>
    </xdr:to>
    <xdr:pic>
      <xdr:nvPicPr>
        <xdr:cNvPr id="4" name="Picture 5" descr="49-903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1076325"/>
          <a:ext cx="259080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352425</xdr:colOff>
      <xdr:row>9</xdr:row>
      <xdr:rowOff>142875</xdr:rowOff>
    </xdr:from>
    <xdr:to>
      <xdr:col>12</xdr:col>
      <xdr:colOff>466725</xdr:colOff>
      <xdr:row>16</xdr:row>
      <xdr:rowOff>9525</xdr:rowOff>
    </xdr:to>
    <xdr:pic>
      <xdr:nvPicPr>
        <xdr:cNvPr id="5" name="Picture 7" descr="dn25L-5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400000">
          <a:off x="8886825" y="1866900"/>
          <a:ext cx="8763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17</xdr:row>
      <xdr:rowOff>104775</xdr:rowOff>
    </xdr:from>
    <xdr:to>
      <xdr:col>17</xdr:col>
      <xdr:colOff>457200</xdr:colOff>
      <xdr:row>37</xdr:row>
      <xdr:rowOff>9525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2857500"/>
          <a:ext cx="6457950" cy="3143250"/>
        </a:xfrm>
        <a:prstGeom prst="rect">
          <a:avLst/>
        </a:prstGeom>
        <a:solidFill>
          <a:srgbClr val="C0C0C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219075</xdr:colOff>
      <xdr:row>18</xdr:row>
      <xdr:rowOff>123825</xdr:rowOff>
    </xdr:from>
    <xdr:ext cx="2552700" cy="3419475"/>
    <xdr:pic>
      <xdr:nvPicPr>
        <xdr:cNvPr id="3" name="Billed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36" t="6104" r="28589" b="1936"/>
        <a:stretch>
          <a:fillRect/>
        </a:stretch>
      </xdr:blipFill>
      <xdr:spPr bwMode="auto">
        <a:xfrm>
          <a:off x="3267075" y="3038475"/>
          <a:ext cx="2552700" cy="3419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14</xdr:col>
      <xdr:colOff>600075</xdr:colOff>
      <xdr:row>0</xdr:row>
      <xdr:rowOff>47625</xdr:rowOff>
    </xdr:from>
    <xdr:to>
      <xdr:col>17</xdr:col>
      <xdr:colOff>590550</xdr:colOff>
      <xdr:row>1</xdr:row>
      <xdr:rowOff>209550</xdr:rowOff>
    </xdr:to>
    <xdr:pic>
      <xdr:nvPicPr>
        <xdr:cNvPr id="4" name="Picture 4" descr="FR_Sauter_Logo_RZ_RGB_50mm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0" y="47625"/>
          <a:ext cx="1800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5"/>
  <sheetViews>
    <sheetView showGridLines="0" workbookViewId="0">
      <selection activeCell="D60" sqref="D60:E60"/>
    </sheetView>
  </sheetViews>
  <sheetFormatPr baseColWidth="10" defaultRowHeight="12.75" x14ac:dyDescent="0.2"/>
  <cols>
    <col min="1" max="1" width="34" customWidth="1"/>
    <col min="4" max="4" width="13.7109375" bestFit="1" customWidth="1"/>
  </cols>
  <sheetData>
    <row r="1" spans="1:14" ht="21" thickTop="1" x14ac:dyDescent="0.3">
      <c r="A1" s="227" t="s">
        <v>130</v>
      </c>
      <c r="B1" s="228"/>
      <c r="C1" s="228"/>
      <c r="D1" s="228"/>
      <c r="E1" s="228"/>
      <c r="F1" s="228"/>
      <c r="G1" s="228"/>
      <c r="H1" s="228"/>
      <c r="I1" s="162"/>
      <c r="J1" s="129"/>
      <c r="K1" s="128"/>
      <c r="L1" s="128"/>
      <c r="M1" s="128"/>
      <c r="N1" s="128"/>
    </row>
    <row r="2" spans="1:14" ht="21" thickBot="1" x14ac:dyDescent="0.35">
      <c r="A2" s="229" t="s">
        <v>104</v>
      </c>
      <c r="B2" s="230"/>
      <c r="C2" s="230"/>
      <c r="D2" s="230"/>
      <c r="E2" s="230"/>
      <c r="F2" s="230"/>
      <c r="G2" s="230"/>
      <c r="H2" s="230"/>
      <c r="I2" s="231"/>
      <c r="J2" s="129"/>
      <c r="K2" s="128"/>
      <c r="L2" s="128"/>
      <c r="M2" s="128"/>
      <c r="N2" s="128"/>
    </row>
    <row r="3" spans="1:14" ht="13.5" thickTop="1" x14ac:dyDescent="0.2">
      <c r="A3" s="134"/>
      <c r="B3" s="145"/>
      <c r="C3" s="145"/>
      <c r="D3" s="135"/>
      <c r="E3" s="135"/>
      <c r="F3" s="135"/>
      <c r="G3" s="135"/>
      <c r="H3" s="135"/>
      <c r="I3" s="136"/>
      <c r="J3" s="128"/>
      <c r="K3" s="128"/>
      <c r="L3" s="128"/>
      <c r="M3" s="128"/>
      <c r="N3" s="128"/>
    </row>
    <row r="4" spans="1:14" x14ac:dyDescent="0.2">
      <c r="A4" s="138"/>
      <c r="B4" s="133" t="s">
        <v>0</v>
      </c>
      <c r="C4" s="130"/>
      <c r="D4" s="128"/>
      <c r="E4" s="130"/>
      <c r="F4" s="130"/>
      <c r="G4" s="130"/>
      <c r="H4" s="130"/>
      <c r="I4" s="137"/>
      <c r="J4" s="128"/>
      <c r="K4" s="128"/>
      <c r="L4" s="128"/>
      <c r="M4" s="128"/>
      <c r="N4" s="128"/>
    </row>
    <row r="5" spans="1:14" x14ac:dyDescent="0.2">
      <c r="A5" s="146" t="s">
        <v>106</v>
      </c>
      <c r="B5" s="127">
        <v>300</v>
      </c>
      <c r="C5" s="140" t="s">
        <v>70</v>
      </c>
      <c r="D5" s="128"/>
      <c r="E5" s="130"/>
      <c r="F5" s="130"/>
      <c r="G5" s="130"/>
      <c r="H5" s="130"/>
      <c r="I5" s="137"/>
      <c r="J5" s="128"/>
      <c r="K5" s="128"/>
      <c r="L5" s="128"/>
      <c r="M5" s="128"/>
      <c r="N5" s="128"/>
    </row>
    <row r="6" spans="1:14" x14ac:dyDescent="0.2">
      <c r="A6" s="146" t="s">
        <v>49</v>
      </c>
      <c r="B6" s="127">
        <v>2</v>
      </c>
      <c r="C6" s="140"/>
      <c r="D6" s="128"/>
      <c r="E6" s="130"/>
      <c r="F6" s="139"/>
      <c r="G6" s="130"/>
      <c r="H6" s="130"/>
      <c r="I6" s="137"/>
      <c r="J6" s="128"/>
      <c r="K6" s="128"/>
      <c r="L6" s="128"/>
      <c r="M6" s="128"/>
      <c r="N6" s="128"/>
    </row>
    <row r="7" spans="1:14" x14ac:dyDescent="0.2">
      <c r="A7" s="138"/>
      <c r="B7" s="130"/>
      <c r="C7" s="130"/>
      <c r="D7" s="128"/>
      <c r="E7" s="130"/>
      <c r="F7" s="139"/>
      <c r="G7" s="130"/>
      <c r="H7" s="130"/>
      <c r="I7" s="137"/>
      <c r="J7" s="128"/>
      <c r="K7" s="128"/>
      <c r="L7" s="128"/>
      <c r="M7" s="128"/>
      <c r="N7" s="128"/>
    </row>
    <row r="8" spans="1:14" ht="13.5" thickBot="1" x14ac:dyDescent="0.25">
      <c r="A8" s="138"/>
      <c r="B8" s="130"/>
      <c r="C8" s="130"/>
      <c r="D8" s="130"/>
      <c r="E8" s="130"/>
      <c r="F8" s="130"/>
      <c r="G8" s="130"/>
      <c r="H8" s="130"/>
      <c r="I8" s="137"/>
      <c r="J8" s="128"/>
      <c r="K8" s="128"/>
      <c r="L8" s="128"/>
      <c r="M8" s="128"/>
      <c r="N8" s="128"/>
    </row>
    <row r="9" spans="1:14" ht="13.5" thickTop="1" x14ac:dyDescent="0.2">
      <c r="A9" s="232" t="s">
        <v>76</v>
      </c>
      <c r="B9" s="234" t="s">
        <v>107</v>
      </c>
      <c r="C9" s="234"/>
      <c r="D9" s="164" t="s">
        <v>108</v>
      </c>
      <c r="E9" s="130"/>
      <c r="F9" s="130"/>
      <c r="G9" s="130"/>
      <c r="H9" s="130"/>
      <c r="I9" s="137"/>
      <c r="J9" s="128"/>
      <c r="K9" s="128"/>
      <c r="L9" s="128"/>
      <c r="M9" s="128"/>
      <c r="N9" s="128"/>
    </row>
    <row r="10" spans="1:14" x14ac:dyDescent="0.2">
      <c r="A10" s="233"/>
      <c r="B10" s="161" t="s">
        <v>109</v>
      </c>
      <c r="C10" s="161" t="s">
        <v>110</v>
      </c>
      <c r="D10" s="166" t="s">
        <v>109</v>
      </c>
      <c r="E10" s="130"/>
      <c r="F10" s="130"/>
      <c r="G10" s="130"/>
      <c r="H10" s="130"/>
      <c r="I10" s="137"/>
      <c r="J10" s="128"/>
      <c r="K10" s="128"/>
      <c r="L10" s="128"/>
      <c r="M10" s="128"/>
      <c r="N10" s="128"/>
    </row>
    <row r="11" spans="1:14" x14ac:dyDescent="0.2">
      <c r="A11" s="167" t="s">
        <v>64</v>
      </c>
      <c r="B11" s="168" t="s">
        <v>29</v>
      </c>
      <c r="C11" s="168" t="s">
        <v>111</v>
      </c>
      <c r="D11" s="158">
        <f>IF($B$5&gt;800,"NOT POSSIBLE",IF($B$6&lt;0.5,"NOT POSSIBLE",(IF($B$6&gt;4,"NOT POSSIBLE",IF($B$5&gt;B40,C40,(1000*D40*(($B$5/100)^0.5)))))))</f>
        <v>102.73520000000001</v>
      </c>
      <c r="E11" s="130"/>
      <c r="F11" s="130"/>
      <c r="G11" s="130"/>
      <c r="H11" s="130"/>
      <c r="I11" s="137"/>
      <c r="J11" s="128"/>
      <c r="K11" s="128"/>
      <c r="L11" s="128"/>
      <c r="M11" s="128"/>
      <c r="N11" s="128"/>
    </row>
    <row r="12" spans="1:14" x14ac:dyDescent="0.2">
      <c r="A12" s="169" t="s">
        <v>63</v>
      </c>
      <c r="B12" s="163" t="s">
        <v>30</v>
      </c>
      <c r="C12" s="163" t="s">
        <v>111</v>
      </c>
      <c r="D12" s="158">
        <f>IF($B$5&gt;800,"NOT POSSIBLE",IF($B$6&lt;0.6,"NOT POSSIBLE",(IF($B$6&gt;4,"NOT POSSIBLE",IF($B$5&gt;B41,C41,(1000*D41*(($B$5/100)^0.5)))))))</f>
        <v>190.8562</v>
      </c>
      <c r="E12" s="130"/>
      <c r="F12" s="130"/>
      <c r="G12" s="130"/>
      <c r="H12" s="130"/>
      <c r="I12" s="137"/>
      <c r="J12" s="128"/>
      <c r="K12" s="128"/>
      <c r="L12" s="128"/>
      <c r="M12" s="128"/>
      <c r="N12" s="128"/>
    </row>
    <row r="13" spans="1:14" x14ac:dyDescent="0.2">
      <c r="A13" s="167" t="s">
        <v>131</v>
      </c>
      <c r="B13" s="168" t="s">
        <v>29</v>
      </c>
      <c r="C13" s="168" t="s">
        <v>111</v>
      </c>
      <c r="D13" s="158">
        <f>IF($B$5&gt;800,"NOT POSSIBLE",IF($B$6&lt;0.5,"NOT POSSIBLE",(IF($B$6&gt;4,"NOT POSSIBLE",IF($B$5&gt;B42,C42,(1000*D42*(($B$5/100)^0.5)))))))</f>
        <v>102.73520000000001</v>
      </c>
      <c r="E13" s="130"/>
      <c r="F13" s="130"/>
      <c r="G13" s="130"/>
      <c r="H13" s="130"/>
      <c r="I13" s="137"/>
      <c r="J13" s="128"/>
      <c r="K13" s="128"/>
      <c r="L13" s="128"/>
      <c r="M13" s="128"/>
      <c r="N13" s="128"/>
    </row>
    <row r="14" spans="1:14" x14ac:dyDescent="0.2">
      <c r="A14" s="169" t="s">
        <v>132</v>
      </c>
      <c r="B14" s="163" t="s">
        <v>30</v>
      </c>
      <c r="C14" s="163" t="s">
        <v>111</v>
      </c>
      <c r="D14" s="158">
        <f t="shared" ref="D14:D23" si="0">IF($B$5&gt;800,"NOT POSSIBLE",IF($B$6&lt;0.6,"NOT POSSIBLE",(IF($B$6&gt;4,"NOT POSSIBLE",IF($B$5&gt;B43,C43,(1000*D43*(($B$5/100)^0.5)))))))</f>
        <v>190.8562</v>
      </c>
      <c r="E14" s="130"/>
      <c r="F14" s="130"/>
      <c r="G14" s="130"/>
      <c r="H14" s="130"/>
      <c r="I14" s="137"/>
      <c r="J14" s="128"/>
      <c r="K14" s="128"/>
      <c r="L14" s="128"/>
      <c r="M14" s="128"/>
      <c r="N14" s="128"/>
    </row>
    <row r="15" spans="1:14" x14ac:dyDescent="0.2">
      <c r="A15" s="167" t="s">
        <v>133</v>
      </c>
      <c r="B15" s="168" t="s">
        <v>31</v>
      </c>
      <c r="C15" s="168" t="s">
        <v>112</v>
      </c>
      <c r="D15" s="158">
        <f t="shared" si="0"/>
        <v>295.84619999999995</v>
      </c>
      <c r="E15" s="130"/>
      <c r="F15" s="130"/>
      <c r="G15" s="130"/>
      <c r="H15" s="130"/>
      <c r="I15" s="137"/>
      <c r="J15" s="128"/>
      <c r="K15" s="128"/>
      <c r="L15" s="128"/>
      <c r="M15" s="128"/>
      <c r="N15" s="175"/>
    </row>
    <row r="16" spans="1:14" x14ac:dyDescent="0.2">
      <c r="A16" s="169" t="s">
        <v>134</v>
      </c>
      <c r="B16" s="163" t="s">
        <v>33</v>
      </c>
      <c r="C16" s="163" t="s">
        <v>114</v>
      </c>
      <c r="D16" s="158">
        <f t="shared" si="0"/>
        <v>677.2654</v>
      </c>
      <c r="E16" s="130"/>
      <c r="F16" s="130"/>
      <c r="G16" s="130"/>
      <c r="H16" s="130"/>
      <c r="I16" s="137"/>
      <c r="J16" s="128"/>
      <c r="K16" s="128"/>
      <c r="L16" s="128"/>
      <c r="M16" s="128"/>
      <c r="N16" s="175"/>
    </row>
    <row r="17" spans="1:14" x14ac:dyDescent="0.2">
      <c r="A17" s="170" t="s">
        <v>135</v>
      </c>
      <c r="B17" s="165" t="s">
        <v>31</v>
      </c>
      <c r="C17" s="165" t="s">
        <v>112</v>
      </c>
      <c r="D17" s="158">
        <f t="shared" si="0"/>
        <v>295.84619999999995</v>
      </c>
      <c r="E17" s="130"/>
      <c r="F17" s="130"/>
      <c r="G17" s="130"/>
      <c r="H17" s="130"/>
      <c r="I17" s="137"/>
      <c r="J17" s="128"/>
      <c r="K17" s="128"/>
      <c r="L17" s="128"/>
      <c r="M17" s="128"/>
      <c r="N17" s="175"/>
    </row>
    <row r="18" spans="1:14" x14ac:dyDescent="0.2">
      <c r="A18" s="169" t="s">
        <v>136</v>
      </c>
      <c r="B18" s="163" t="s">
        <v>32</v>
      </c>
      <c r="C18" s="163" t="s">
        <v>112</v>
      </c>
      <c r="D18" s="158">
        <f t="shared" si="0"/>
        <v>502.08799999999997</v>
      </c>
      <c r="E18" s="130"/>
      <c r="F18" s="130"/>
      <c r="G18" s="130"/>
      <c r="H18" s="130"/>
      <c r="I18" s="137"/>
      <c r="J18" s="128"/>
      <c r="K18" s="128"/>
      <c r="L18" s="128"/>
      <c r="M18" s="128"/>
      <c r="N18" s="128"/>
    </row>
    <row r="19" spans="1:14" x14ac:dyDescent="0.2">
      <c r="A19" s="170" t="s">
        <v>137</v>
      </c>
      <c r="B19" s="165" t="s">
        <v>33</v>
      </c>
      <c r="C19" s="165" t="s">
        <v>114</v>
      </c>
      <c r="D19" s="158">
        <f t="shared" si="0"/>
        <v>677.2654</v>
      </c>
      <c r="E19" s="130"/>
      <c r="F19" s="130"/>
      <c r="G19" s="130"/>
      <c r="H19" s="130"/>
      <c r="I19" s="137"/>
      <c r="J19" s="128"/>
      <c r="K19" s="128"/>
      <c r="L19" s="128"/>
      <c r="M19" s="128"/>
      <c r="N19" s="128"/>
    </row>
    <row r="20" spans="1:14" x14ac:dyDescent="0.2">
      <c r="A20" s="169" t="s">
        <v>138</v>
      </c>
      <c r="B20" s="163" t="s">
        <v>116</v>
      </c>
      <c r="C20" s="163" t="s">
        <v>117</v>
      </c>
      <c r="D20" s="158">
        <f t="shared" si="0"/>
        <v>850</v>
      </c>
      <c r="E20" s="130"/>
      <c r="F20" s="130"/>
      <c r="G20" s="130"/>
      <c r="H20" s="130"/>
      <c r="I20" s="137"/>
      <c r="J20" s="128"/>
      <c r="K20" s="128"/>
      <c r="L20" s="128"/>
      <c r="M20" s="128"/>
      <c r="N20" s="128"/>
    </row>
    <row r="21" spans="1:14" x14ac:dyDescent="0.2">
      <c r="A21" s="170" t="s">
        <v>139</v>
      </c>
      <c r="B21" s="165" t="s">
        <v>119</v>
      </c>
      <c r="C21" s="165" t="s">
        <v>112</v>
      </c>
      <c r="D21" s="158">
        <f t="shared" si="0"/>
        <v>800</v>
      </c>
      <c r="E21" s="130"/>
      <c r="F21" s="130"/>
      <c r="G21" s="130"/>
      <c r="H21" s="130"/>
      <c r="I21" s="137"/>
      <c r="J21" s="128"/>
      <c r="K21" s="128"/>
      <c r="L21" s="128"/>
      <c r="M21" s="128"/>
      <c r="N21" s="128"/>
    </row>
    <row r="22" spans="1:14" x14ac:dyDescent="0.2">
      <c r="A22" s="169" t="s">
        <v>140</v>
      </c>
      <c r="B22" s="163" t="s">
        <v>46</v>
      </c>
      <c r="C22" s="163" t="s">
        <v>121</v>
      </c>
      <c r="D22" s="158">
        <f t="shared" si="0"/>
        <v>1838.9999999995944</v>
      </c>
      <c r="E22" s="130"/>
      <c r="F22" s="130"/>
      <c r="G22" s="130"/>
      <c r="H22" s="130"/>
      <c r="I22" s="137"/>
      <c r="J22" s="128"/>
      <c r="K22" s="128"/>
      <c r="L22" s="128"/>
      <c r="M22" s="128"/>
      <c r="N22" s="128"/>
    </row>
    <row r="23" spans="1:14" x14ac:dyDescent="0.2">
      <c r="A23" s="170" t="s">
        <v>141</v>
      </c>
      <c r="B23" s="165" t="s">
        <v>47</v>
      </c>
      <c r="C23" s="165" t="s">
        <v>117</v>
      </c>
      <c r="D23" s="158">
        <f t="shared" si="0"/>
        <v>1970.9999999987999</v>
      </c>
      <c r="E23" s="130"/>
      <c r="F23" s="130"/>
      <c r="G23" s="130"/>
      <c r="H23" s="130"/>
      <c r="I23" s="137"/>
      <c r="J23" s="128"/>
      <c r="K23" s="128"/>
      <c r="L23" s="128"/>
      <c r="M23" s="128"/>
      <c r="N23" s="128"/>
    </row>
    <row r="24" spans="1:14" x14ac:dyDescent="0.2">
      <c r="A24" s="169" t="s">
        <v>142</v>
      </c>
      <c r="B24" s="163" t="s">
        <v>124</v>
      </c>
      <c r="C24" s="163" t="s">
        <v>125</v>
      </c>
      <c r="D24" s="158">
        <f>IF($B$5&gt;800,"NICHT MÖGLICH",IF($B$6&lt;0.6,"NOT POSSIBLE",(IF($B$6&gt;4,"NOT POSSIBLE",IF($B$5&gt;B53,C53,(1000*D53*(($B$5/100)^0.5)))))))</f>
        <v>3900.076</v>
      </c>
      <c r="E24" s="130"/>
      <c r="F24" s="130"/>
      <c r="G24" s="130"/>
      <c r="H24" s="130"/>
      <c r="I24" s="137"/>
      <c r="J24" s="128"/>
      <c r="K24" s="128"/>
      <c r="L24" s="128"/>
      <c r="M24" s="128"/>
      <c r="N24" s="128"/>
    </row>
    <row r="25" spans="1:14" ht="13.5" thickBot="1" x14ac:dyDescent="0.25">
      <c r="A25" s="176" t="s">
        <v>143</v>
      </c>
      <c r="B25" s="177" t="s">
        <v>127</v>
      </c>
      <c r="C25" s="177" t="s">
        <v>125</v>
      </c>
      <c r="D25" s="159">
        <f>IF($B$5&gt;800,"NICHT MÖGLICH",IF($B$6&lt;0.6,"NOT POSSIBLE",(IF($B$6&gt;4,"NOT POSSIBLE",IF($B$5&gt;B54,C54,(1000*D54*(($B$5/100)^0.5)))))))</f>
        <v>4150.0439999999999</v>
      </c>
      <c r="E25" s="130"/>
      <c r="F25" s="130"/>
      <c r="G25" s="130"/>
      <c r="H25" s="130"/>
      <c r="I25" s="137"/>
      <c r="J25" s="128"/>
      <c r="K25" s="128"/>
      <c r="L25" s="128"/>
      <c r="M25" s="128"/>
      <c r="N25" s="128"/>
    </row>
    <row r="26" spans="1:14" ht="13.5" thickTop="1" x14ac:dyDescent="0.2">
      <c r="A26" s="138"/>
      <c r="B26" s="130"/>
      <c r="C26" s="130"/>
      <c r="D26" s="172" t="s">
        <v>101</v>
      </c>
      <c r="E26" s="130"/>
      <c r="F26" s="130"/>
      <c r="G26" s="130"/>
      <c r="H26" s="130"/>
      <c r="I26" s="137"/>
      <c r="J26" s="128"/>
      <c r="K26" s="128"/>
      <c r="L26" s="128"/>
      <c r="M26" s="128"/>
      <c r="N26" s="128"/>
    </row>
    <row r="27" spans="1:14" x14ac:dyDescent="0.2">
      <c r="A27" s="138"/>
      <c r="B27" s="130"/>
      <c r="C27" s="130"/>
      <c r="D27" s="173" t="s">
        <v>102</v>
      </c>
      <c r="E27" s="130"/>
      <c r="F27" s="130"/>
      <c r="G27" s="130"/>
      <c r="H27" s="130"/>
      <c r="I27" s="137"/>
      <c r="J27" s="128"/>
      <c r="K27" s="128"/>
      <c r="L27" s="128"/>
      <c r="M27" s="128"/>
      <c r="N27" s="128"/>
    </row>
    <row r="28" spans="1:14" x14ac:dyDescent="0.2">
      <c r="A28" s="138"/>
      <c r="B28" s="130"/>
      <c r="C28" s="130"/>
      <c r="D28" s="128"/>
      <c r="E28" s="130"/>
      <c r="F28" s="130"/>
      <c r="G28" s="130"/>
      <c r="H28" s="130"/>
      <c r="I28" s="137"/>
      <c r="J28" s="128"/>
      <c r="K28" s="128"/>
      <c r="L28" s="128"/>
      <c r="M28" s="128"/>
      <c r="N28" s="128"/>
    </row>
    <row r="29" spans="1:14" x14ac:dyDescent="0.2">
      <c r="A29" s="138"/>
      <c r="B29" s="130"/>
      <c r="C29" s="130"/>
      <c r="D29" s="128"/>
      <c r="E29" s="130"/>
      <c r="F29" s="130"/>
      <c r="G29" s="130"/>
      <c r="H29" s="130"/>
      <c r="I29" s="137"/>
      <c r="J29" s="128"/>
      <c r="K29" s="128"/>
      <c r="L29" s="128"/>
      <c r="M29" s="128"/>
      <c r="N29" s="128"/>
    </row>
    <row r="30" spans="1:14" x14ac:dyDescent="0.2">
      <c r="A30" s="138"/>
      <c r="B30" s="130"/>
      <c r="C30" s="130"/>
      <c r="D30" s="128"/>
      <c r="E30" s="130"/>
      <c r="F30" s="130"/>
      <c r="G30" s="130"/>
      <c r="H30" s="130"/>
      <c r="I30" s="137"/>
      <c r="J30" s="128"/>
      <c r="K30" s="128"/>
      <c r="L30" s="128"/>
      <c r="M30" s="128"/>
      <c r="N30" s="128"/>
    </row>
    <row r="31" spans="1:14" x14ac:dyDescent="0.2">
      <c r="A31" s="138"/>
      <c r="B31" s="130"/>
      <c r="C31" s="130"/>
      <c r="D31" s="128"/>
      <c r="E31" s="130"/>
      <c r="F31" s="130"/>
      <c r="G31" s="130"/>
      <c r="H31" s="130"/>
      <c r="I31" s="137"/>
      <c r="J31" s="128"/>
      <c r="K31" s="128"/>
      <c r="L31" s="128"/>
      <c r="M31" s="128"/>
      <c r="N31" s="128"/>
    </row>
    <row r="32" spans="1:14" x14ac:dyDescent="0.2">
      <c r="A32" s="138"/>
      <c r="B32" s="130"/>
      <c r="C32" s="130"/>
      <c r="D32" s="128"/>
      <c r="E32" s="130"/>
      <c r="F32" s="130"/>
      <c r="G32" s="130"/>
      <c r="H32" s="130"/>
      <c r="I32" s="137"/>
      <c r="J32" s="128"/>
      <c r="K32" s="128"/>
      <c r="L32" s="128"/>
      <c r="M32" s="128"/>
      <c r="N32" s="128"/>
    </row>
    <row r="33" spans="1:9" x14ac:dyDescent="0.2">
      <c r="A33" s="138"/>
      <c r="B33" s="130"/>
      <c r="C33" s="130"/>
      <c r="D33" s="128"/>
      <c r="E33" s="130"/>
      <c r="F33" s="130"/>
      <c r="G33" s="130"/>
      <c r="H33" s="130"/>
      <c r="I33" s="137"/>
    </row>
    <row r="34" spans="1:9" x14ac:dyDescent="0.2">
      <c r="A34" s="138"/>
      <c r="B34" s="130"/>
      <c r="C34" s="130"/>
      <c r="D34" s="128"/>
      <c r="E34" s="130"/>
      <c r="F34" s="130"/>
      <c r="G34" s="130"/>
      <c r="H34" s="130"/>
      <c r="I34" s="137"/>
    </row>
    <row r="35" spans="1:9" x14ac:dyDescent="0.2">
      <c r="A35" s="138"/>
      <c r="B35" s="130"/>
      <c r="C35" s="130"/>
      <c r="D35" s="128"/>
      <c r="E35" s="130"/>
      <c r="F35" s="130"/>
      <c r="G35" s="130"/>
      <c r="H35" s="130"/>
      <c r="I35" s="137"/>
    </row>
    <row r="36" spans="1:9" x14ac:dyDescent="0.2">
      <c r="A36" s="138"/>
      <c r="B36" s="130"/>
      <c r="C36" s="130"/>
      <c r="D36" s="141"/>
      <c r="E36" s="130"/>
      <c r="F36" s="130"/>
      <c r="G36" s="130"/>
      <c r="H36" s="130"/>
      <c r="I36" s="137"/>
    </row>
    <row r="37" spans="1:9" ht="13.5" thickBot="1" x14ac:dyDescent="0.25">
      <c r="A37" s="142" t="s">
        <v>129</v>
      </c>
      <c r="B37" s="143"/>
      <c r="C37" s="143"/>
      <c r="D37" s="143"/>
      <c r="E37" s="143"/>
      <c r="F37" s="143"/>
      <c r="G37" s="143"/>
      <c r="H37" s="143"/>
      <c r="I37" s="144"/>
    </row>
    <row r="38" spans="1:9" ht="13.5" thickTop="1" x14ac:dyDescent="0.2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t="13.5" hidden="1" thickTop="1" x14ac:dyDescent="0.2">
      <c r="A39" s="152" t="s">
        <v>28</v>
      </c>
      <c r="B39" s="153" t="s">
        <v>50</v>
      </c>
      <c r="C39" s="154" t="s">
        <v>51</v>
      </c>
      <c r="D39" s="149" t="s">
        <v>52</v>
      </c>
      <c r="E39" s="148" t="s">
        <v>1</v>
      </c>
      <c r="F39" s="149" t="s">
        <v>27</v>
      </c>
      <c r="G39" s="128"/>
      <c r="H39" s="128"/>
      <c r="I39" s="128"/>
    </row>
    <row r="40" spans="1:9" hidden="1" x14ac:dyDescent="0.2">
      <c r="A40" s="167" t="s">
        <v>19</v>
      </c>
      <c r="B40" s="147">
        <f>-0.0158*$B$6^3+0.1133*$B$6^2+0.2063*$B$6+14.179</f>
        <v>14.9184</v>
      </c>
      <c r="C40" s="155">
        <f>0.071*$B$6^3-0.4496*$B$6^2+49.322*$B$6+5.3216</f>
        <v>102.73520000000001</v>
      </c>
      <c r="D40" s="157">
        <f>(C40/1000)/((B40/100)^0.5)</f>
        <v>0.26598561326702708</v>
      </c>
      <c r="E40" s="150">
        <v>0.6</v>
      </c>
      <c r="F40" s="131">
        <v>280</v>
      </c>
      <c r="G40" s="128"/>
      <c r="H40" s="128"/>
      <c r="I40" s="128"/>
    </row>
    <row r="41" spans="1:9" hidden="1" x14ac:dyDescent="0.2">
      <c r="A41" s="169" t="s">
        <v>20</v>
      </c>
      <c r="B41" s="147">
        <f>-0.0162*$B$6^3+0.0962*$B$6^2+0.6256*$B$6+14.194</f>
        <v>15.700400000000002</v>
      </c>
      <c r="C41" s="155">
        <f>0.1879*$B$6^3-1.3575*$B$6^2+92.445*$B$6+9.893</f>
        <v>190.8562</v>
      </c>
      <c r="D41" s="157">
        <f>(C41/1000)/((B41/100)^0.5)</f>
        <v>0.48167145983093418</v>
      </c>
      <c r="E41" s="150">
        <v>1</v>
      </c>
      <c r="F41" s="131">
        <v>430</v>
      </c>
      <c r="G41" s="128"/>
      <c r="H41" s="128"/>
      <c r="I41" s="128"/>
    </row>
    <row r="42" spans="1:9" hidden="1" x14ac:dyDescent="0.2">
      <c r="A42" s="167" t="s">
        <v>21</v>
      </c>
      <c r="B42" s="147">
        <f>-0.0158*$B$6^3+0.1133*$B$6^2+0.2063*$B$6+14.179</f>
        <v>14.9184</v>
      </c>
      <c r="C42" s="155">
        <f>0.071*$B$6^3-0.4496*$B$6^2+49.322*$B$6+5.3216</f>
        <v>102.73520000000001</v>
      </c>
      <c r="D42" s="157">
        <f>(C42/1000)/((B42/100)^0.5)</f>
        <v>0.26598561326702708</v>
      </c>
      <c r="E42" s="150">
        <v>2</v>
      </c>
      <c r="F42" s="131">
        <v>800</v>
      </c>
      <c r="G42" s="128"/>
      <c r="H42" s="128"/>
      <c r="I42" s="128"/>
    </row>
    <row r="43" spans="1:9" hidden="1" x14ac:dyDescent="0.2">
      <c r="A43" s="169" t="s">
        <v>22</v>
      </c>
      <c r="B43" s="147">
        <f>-0.0162*$B$6^3+0.0962*$B$6^2+0.6256*$B$6+14.194</f>
        <v>15.700400000000002</v>
      </c>
      <c r="C43" s="155">
        <f>0.1879*$B$6^3-1.3575*$B$6^2+92.445*$B$6+9.893</f>
        <v>190.8562</v>
      </c>
      <c r="D43" s="157">
        <f>(C43/1000)/((B43/100)^0.5)</f>
        <v>0.48167145983093418</v>
      </c>
      <c r="E43" s="150">
        <v>3</v>
      </c>
      <c r="F43" s="131">
        <v>1250</v>
      </c>
      <c r="G43" s="128"/>
      <c r="H43" s="128"/>
      <c r="I43" s="128"/>
    </row>
    <row r="44" spans="1:9" ht="13.5" hidden="1" thickBot="1" x14ac:dyDescent="0.25">
      <c r="A44" s="167" t="s">
        <v>23</v>
      </c>
      <c r="B44" s="147">
        <f>0.0264*$B$6^3-0.2572*$B$6^2+1.7436*$B$6+13.957</f>
        <v>16.6266</v>
      </c>
      <c r="C44" s="155">
        <f>0.1879*$B$6^3-1.3575*$B$6^2+142.44*$B$6+14.893</f>
        <v>295.84619999999995</v>
      </c>
      <c r="D44" s="178">
        <f t="shared" ref="D44:D54" si="1">(C44/1000)/((B44/100)^0.5)</f>
        <v>0.72554486203156043</v>
      </c>
      <c r="E44" s="151">
        <v>4</v>
      </c>
      <c r="F44" s="132">
        <v>1800</v>
      </c>
      <c r="G44" s="128"/>
      <c r="H44" s="128"/>
      <c r="I44" s="128"/>
    </row>
    <row r="45" spans="1:9" ht="13.5" hidden="1" thickTop="1" x14ac:dyDescent="0.2">
      <c r="A45" s="169" t="s">
        <v>113</v>
      </c>
      <c r="B45" s="147">
        <f>-0.003*$B$6^3-0.2956*$B$6^2+3.0654*$B$6+14.256</f>
        <v>19.180399999999999</v>
      </c>
      <c r="C45" s="155">
        <f>-0.0681*$B$6^3+0.4158*$B$6^2+325.8*$B$6+24.547</f>
        <v>677.2654</v>
      </c>
      <c r="D45" s="178">
        <f t="shared" si="1"/>
        <v>1.5464292623047264</v>
      </c>
      <c r="E45" s="160"/>
      <c r="F45" s="160"/>
      <c r="G45" s="128"/>
      <c r="H45" s="128"/>
      <c r="I45" s="128"/>
    </row>
    <row r="46" spans="1:9" hidden="1" x14ac:dyDescent="0.2">
      <c r="A46" s="169" t="s">
        <v>24</v>
      </c>
      <c r="B46" s="147">
        <f>0.0264*$B$6^3-0.2572*$B$6^2+1.7436*$B$6+13.957</f>
        <v>16.6266</v>
      </c>
      <c r="C46" s="155">
        <f>0.1879*$B$6^3-1.3575*$B$6^2+142.44*$B$6+14.893</f>
        <v>295.84619999999995</v>
      </c>
      <c r="D46" s="178">
        <f t="shared" si="1"/>
        <v>0.72554486203156043</v>
      </c>
      <c r="E46" s="128"/>
      <c r="F46" s="128"/>
      <c r="G46" s="128"/>
      <c r="H46" s="128"/>
      <c r="I46" s="128"/>
    </row>
    <row r="47" spans="1:9" hidden="1" x14ac:dyDescent="0.2">
      <c r="A47" s="167" t="s">
        <v>25</v>
      </c>
      <c r="B47" s="147">
        <f>-0.0252*$B$6^3-0.014*$B$6^2+2.0359*$B$6+14.294</f>
        <v>18.1082</v>
      </c>
      <c r="C47" s="155">
        <f>0.0799*$B$6^3-0.6278*$B$6^2+245.5*$B$6+12.96</f>
        <v>502.08799999999997</v>
      </c>
      <c r="D47" s="178">
        <f t="shared" si="1"/>
        <v>1.1798918479152967</v>
      </c>
      <c r="E47" s="128"/>
      <c r="F47" s="128"/>
      <c r="G47" s="128"/>
      <c r="H47" s="128"/>
      <c r="I47" s="128"/>
    </row>
    <row r="48" spans="1:9" hidden="1" x14ac:dyDescent="0.2">
      <c r="A48" s="169" t="s">
        <v>26</v>
      </c>
      <c r="B48" s="147">
        <f>-0.003*$B$6^3-0.2956*$B$6^2+3.0654*$B$6+14.256</f>
        <v>19.180399999999999</v>
      </c>
      <c r="C48" s="155">
        <f>-0.0681*$B$6^3+0.4158*$B$6^2+325.8*$B$6+24.547</f>
        <v>677.2654</v>
      </c>
      <c r="D48" s="178">
        <f t="shared" si="1"/>
        <v>1.5464292623047264</v>
      </c>
      <c r="E48" s="128"/>
      <c r="F48" s="128"/>
      <c r="G48" s="128"/>
      <c r="H48" s="128"/>
      <c r="I48" s="128"/>
    </row>
    <row r="49" spans="1:4" hidden="1" x14ac:dyDescent="0.2">
      <c r="A49" s="170" t="s">
        <v>115</v>
      </c>
      <c r="B49" s="174">
        <f>ROUND(-1.338352*B6^4+13.061298*B6^3-41.975654*B6^2+55.306489*B6-2.920448,1)</f>
        <v>22.9</v>
      </c>
      <c r="C49" s="155">
        <f>ROUND(-9.2086834735*B6^4+97.0868347344*B6^3-322.3039215708*B6^2+795.4341736719*B6-81.0084033605,0)</f>
        <v>850</v>
      </c>
      <c r="D49" s="178">
        <f t="shared" si="1"/>
        <v>1.7762381129964349</v>
      </c>
    </row>
    <row r="50" spans="1:4" hidden="1" x14ac:dyDescent="0.2">
      <c r="A50" s="169" t="s">
        <v>118</v>
      </c>
      <c r="B50" s="147">
        <f>-0.0488*B6^4+1.2823*B6^3-4.3242*B6^2+6.5949*B6+12.629</f>
        <v>17.999600000000001</v>
      </c>
      <c r="C50" s="155">
        <f>ROUND(-4.3592436975*B6^4+46.9257703085*B6^3-132.573529414*B6^2+504.6288515433*B6+15.3781512613,0)</f>
        <v>800</v>
      </c>
      <c r="D50" s="178">
        <f t="shared" si="1"/>
        <v>1.8856390348253569</v>
      </c>
    </row>
    <row r="51" spans="1:4" hidden="1" x14ac:dyDescent="0.2">
      <c r="A51" s="170" t="s">
        <v>120</v>
      </c>
      <c r="B51" s="147">
        <f>0.1565*$B$6^3-0.4391*$B$6^2+0.7641*$B$6+16.949</f>
        <v>17.972800000000003</v>
      </c>
      <c r="C51" s="155">
        <f>-0.0000000000007*$B$6^3-0.0000000001*$B$6^2+885*$B$6+69</f>
        <v>1838.9999999995944</v>
      </c>
      <c r="D51" s="178">
        <f t="shared" si="1"/>
        <v>4.337843289365086</v>
      </c>
    </row>
    <row r="52" spans="1:4" hidden="1" x14ac:dyDescent="0.2">
      <c r="A52" s="169" t="s">
        <v>122</v>
      </c>
      <c r="B52" s="147">
        <f>0.3192*$B$6^3-1.0077*$B$6^2+1.6227*$B$6+17.201</f>
        <v>18.969200000000001</v>
      </c>
      <c r="C52" s="155">
        <f>-0.0000000003*$B$6^2+1015*$B$6-59</f>
        <v>1970.9999999987999</v>
      </c>
      <c r="D52" s="178">
        <f t="shared" si="1"/>
        <v>4.5254536015319715</v>
      </c>
    </row>
    <row r="53" spans="1:4" hidden="1" x14ac:dyDescent="0.2">
      <c r="A53" s="170" t="s">
        <v>123</v>
      </c>
      <c r="B53" s="155">
        <f>1.053229*B6^3-3.608573*B6^2+4.209524*B6+8.476985</f>
        <v>10.887573000000001</v>
      </c>
      <c r="C53" s="155">
        <f>-29.149*B6^4+241.49*B6^3-370.22*B6^2+1757.5*B6+400.42</f>
        <v>3900.076</v>
      </c>
      <c r="D53" s="178">
        <f t="shared" si="1"/>
        <v>11.819729296670545</v>
      </c>
    </row>
    <row r="54" spans="1:4" ht="13.5" hidden="1" thickBot="1" x14ac:dyDescent="0.25">
      <c r="A54" s="171" t="s">
        <v>126</v>
      </c>
      <c r="B54" s="156">
        <f>-0.5707*B6^4+5.3739*B6^3-14.475*B6^2+16.37*B6+4.3025</f>
        <v>13.002500000000003</v>
      </c>
      <c r="C54" s="156">
        <f>-64.426*B6^4+544.26*B6^3-1029.9*B6^2+2346.3*B6+253.78</f>
        <v>4150.0439999999999</v>
      </c>
      <c r="D54" s="178">
        <f t="shared" si="1"/>
        <v>11.509044520019195</v>
      </c>
    </row>
    <row r="55" spans="1:4" x14ac:dyDescent="0.2">
      <c r="A55" s="128"/>
      <c r="B55" s="128"/>
      <c r="C55" s="128"/>
      <c r="D55" s="128"/>
    </row>
  </sheetData>
  <sheetProtection password="EF28" sheet="1" objects="1" scenarios="1"/>
  <mergeCells count="4">
    <mergeCell ref="A1:H1"/>
    <mergeCell ref="A2:I2"/>
    <mergeCell ref="A9:A10"/>
    <mergeCell ref="B9:C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showGridLines="0" zoomScaleNormal="100" workbookViewId="0">
      <selection activeCell="H12" sqref="H12"/>
    </sheetView>
  </sheetViews>
  <sheetFormatPr baseColWidth="10" defaultColWidth="8.85546875" defaultRowHeight="12.75" x14ac:dyDescent="0.2"/>
  <cols>
    <col min="1" max="1" width="23.7109375" customWidth="1"/>
    <col min="2" max="2" width="14.28515625" customWidth="1"/>
    <col min="3" max="4" width="15.7109375" customWidth="1"/>
    <col min="5" max="6" width="10.7109375" customWidth="1"/>
    <col min="7" max="7" width="7.140625" hidden="1" customWidth="1"/>
    <col min="8" max="8" width="10.7109375" customWidth="1"/>
    <col min="9" max="9" width="20.42578125" bestFit="1" customWidth="1"/>
    <col min="13" max="14" width="20.28515625" bestFit="1" customWidth="1"/>
  </cols>
  <sheetData>
    <row r="1" spans="1:10" ht="21" thickTop="1" x14ac:dyDescent="0.3">
      <c r="A1" s="239" t="s">
        <v>59</v>
      </c>
      <c r="B1" s="240"/>
      <c r="C1" s="240"/>
      <c r="D1" s="240"/>
      <c r="E1" s="240"/>
      <c r="F1" s="240"/>
      <c r="G1" s="43"/>
      <c r="H1" s="43"/>
      <c r="I1" s="46"/>
      <c r="J1" s="1"/>
    </row>
    <row r="2" spans="1:10" ht="21" thickBot="1" x14ac:dyDescent="0.35">
      <c r="A2" s="241" t="s">
        <v>58</v>
      </c>
      <c r="B2" s="242"/>
      <c r="C2" s="242"/>
      <c r="D2" s="242"/>
      <c r="E2" s="242"/>
      <c r="F2" s="242"/>
      <c r="G2" s="44"/>
      <c r="H2" s="44"/>
      <c r="I2" s="45"/>
      <c r="J2" s="1"/>
    </row>
    <row r="3" spans="1:10" ht="13.5" thickTop="1" x14ac:dyDescent="0.2">
      <c r="A3" s="6"/>
      <c r="B3" s="20"/>
      <c r="C3" s="20"/>
      <c r="D3" s="7"/>
      <c r="E3" s="7"/>
      <c r="F3" s="7"/>
      <c r="G3" s="7"/>
      <c r="H3" s="7"/>
      <c r="I3" s="8"/>
    </row>
    <row r="4" spans="1:10" x14ac:dyDescent="0.2">
      <c r="A4" s="10"/>
      <c r="B4" s="5" t="s">
        <v>0</v>
      </c>
      <c r="C4" s="2"/>
      <c r="D4" s="2"/>
      <c r="E4" s="2"/>
      <c r="F4" s="2"/>
      <c r="G4" s="2"/>
      <c r="H4" s="2"/>
      <c r="I4" s="9"/>
    </row>
    <row r="5" spans="1:10" ht="13.5" thickBot="1" x14ac:dyDescent="0.25">
      <c r="A5" s="30" t="s">
        <v>48</v>
      </c>
      <c r="B5" s="48">
        <v>35</v>
      </c>
      <c r="C5" s="12" t="s">
        <v>53</v>
      </c>
      <c r="D5" s="50">
        <f>B5/100</f>
        <v>0.35</v>
      </c>
      <c r="E5" s="11" t="s">
        <v>62</v>
      </c>
      <c r="F5" s="2"/>
      <c r="G5" s="2"/>
      <c r="H5" s="2"/>
      <c r="I5" s="9"/>
    </row>
    <row r="6" spans="1:10" ht="13.5" thickBot="1" x14ac:dyDescent="0.25">
      <c r="A6" s="30" t="s">
        <v>49</v>
      </c>
      <c r="B6" s="49">
        <v>4</v>
      </c>
      <c r="C6" s="12"/>
      <c r="D6" s="2"/>
      <c r="E6" s="2"/>
      <c r="F6" s="11"/>
      <c r="G6" s="2"/>
      <c r="H6" s="2"/>
      <c r="I6" s="9"/>
    </row>
    <row r="7" spans="1:10" x14ac:dyDescent="0.2">
      <c r="A7" s="10"/>
      <c r="B7" s="2"/>
      <c r="C7" s="2"/>
      <c r="D7" s="2"/>
      <c r="E7" s="2"/>
      <c r="F7" s="11"/>
      <c r="G7" s="2"/>
      <c r="H7" s="2"/>
      <c r="I7" s="9"/>
    </row>
    <row r="8" spans="1:10" ht="13.5" thickBot="1" x14ac:dyDescent="0.25">
      <c r="A8" s="10"/>
      <c r="B8" s="2"/>
      <c r="C8" s="2"/>
      <c r="D8" s="2"/>
      <c r="E8" s="2"/>
      <c r="F8" s="2"/>
      <c r="G8" s="2"/>
      <c r="H8" s="2"/>
      <c r="I8" s="9"/>
    </row>
    <row r="9" spans="1:10" ht="13.5" thickTop="1" x14ac:dyDescent="0.2">
      <c r="A9" s="235" t="s">
        <v>57</v>
      </c>
      <c r="B9" s="237" t="s">
        <v>56</v>
      </c>
      <c r="C9" s="238"/>
      <c r="D9" s="29"/>
      <c r="E9" s="2"/>
      <c r="F9" s="2"/>
      <c r="G9" s="2"/>
      <c r="H9" s="2"/>
      <c r="I9" s="9"/>
    </row>
    <row r="10" spans="1:10" ht="13.5" thickBot="1" x14ac:dyDescent="0.25">
      <c r="A10" s="236"/>
      <c r="B10" s="24" t="s">
        <v>54</v>
      </c>
      <c r="C10" s="25" t="s">
        <v>55</v>
      </c>
      <c r="D10" s="26" t="s">
        <v>54</v>
      </c>
      <c r="E10" s="2"/>
      <c r="F10" s="2"/>
      <c r="G10" s="2"/>
      <c r="H10" s="2"/>
      <c r="I10" s="9"/>
    </row>
    <row r="11" spans="1:10" x14ac:dyDescent="0.2">
      <c r="A11" s="21" t="s">
        <v>65</v>
      </c>
      <c r="B11" s="17" t="s">
        <v>13</v>
      </c>
      <c r="C11" s="17" t="s">
        <v>4</v>
      </c>
      <c r="D11" s="28">
        <f>IF($B$6&lt;0.5,"NOT POSSIBLE",(IF($B$6&gt;4,"NOTPOSSIBLE",IF($B$5&gt;B36,C36,(1000*D36*(($B$5/100)^0.5))))))</f>
        <v>1722.066</v>
      </c>
      <c r="E11" s="2"/>
      <c r="F11" s="2"/>
      <c r="G11" s="2"/>
      <c r="H11" s="2"/>
      <c r="I11" s="9"/>
    </row>
    <row r="12" spans="1:10" x14ac:dyDescent="0.2">
      <c r="A12" s="22" t="s">
        <v>66</v>
      </c>
      <c r="B12" s="18" t="s">
        <v>11</v>
      </c>
      <c r="C12" s="18" t="s">
        <v>4</v>
      </c>
      <c r="D12" s="28">
        <f>IF($B$6&lt;0.5,"NOT POSSIBLE",(IF($B$6&gt;4,"NOTPOSSIBLE",IF($B$5&gt;B37,C37,(1000*D37*(($B$5/100)^0.5))))))</f>
        <v>2039.0083000000002</v>
      </c>
      <c r="E12" s="2"/>
      <c r="F12" s="2"/>
      <c r="G12" s="2"/>
      <c r="H12" s="2"/>
      <c r="I12" s="9"/>
    </row>
    <row r="13" spans="1:10" x14ac:dyDescent="0.2">
      <c r="A13" s="21" t="s">
        <v>67</v>
      </c>
      <c r="B13" s="17" t="s">
        <v>15</v>
      </c>
      <c r="C13" s="17" t="s">
        <v>4</v>
      </c>
      <c r="D13" s="28">
        <f>IF($B$6&lt;0.5,"NOT POSSIBLE",(IF($B$6&gt;4,"NOTPOSSIBLE",IF($B$5&gt;B38,C38,(1000*D38*(($B$5/100)^0.5))))))</f>
        <v>3056.0360000000001</v>
      </c>
      <c r="E13" s="2"/>
      <c r="F13" s="2"/>
      <c r="G13" s="2"/>
      <c r="H13" s="2"/>
      <c r="I13" s="9"/>
    </row>
    <row r="14" spans="1:10" x14ac:dyDescent="0.2">
      <c r="A14" s="22" t="s">
        <v>68</v>
      </c>
      <c r="B14" s="18" t="s">
        <v>16</v>
      </c>
      <c r="C14" s="18" t="s">
        <v>2</v>
      </c>
      <c r="D14" s="28">
        <f>IF($B$6&lt;0.5,"NOT POSSIBLE",(IF($B$6&gt;4,"NOTPOSSIBLE",IF($B$5&gt;B39,C39,(1000*D39*(($B$5/100)^0.5))))))</f>
        <v>7104.6320000000023</v>
      </c>
      <c r="E14" s="2"/>
      <c r="F14" s="2"/>
      <c r="G14" s="2"/>
      <c r="H14" s="2"/>
      <c r="I14" s="9"/>
    </row>
    <row r="15" spans="1:10" ht="13.5" thickBot="1" x14ac:dyDescent="0.25">
      <c r="A15" s="23" t="s">
        <v>69</v>
      </c>
      <c r="B15" s="19" t="s">
        <v>17</v>
      </c>
      <c r="C15" s="19" t="s">
        <v>18</v>
      </c>
      <c r="D15" s="40">
        <f>IF($B$6&lt;0.5,"NOT POSSIBLE",(IF($B$6&gt;4,"NOTPOSSIBLE",IF($B$5&gt;B40,C40,(1000*D40*(($B$5/100)^0.5))))))</f>
        <v>8585.7320000000109</v>
      </c>
      <c r="E15" s="2"/>
      <c r="F15" s="2"/>
      <c r="G15" s="2"/>
      <c r="H15" s="2"/>
      <c r="I15" s="9"/>
    </row>
    <row r="16" spans="1:10" ht="13.5" thickTop="1" x14ac:dyDescent="0.2">
      <c r="A16" s="10"/>
      <c r="B16" s="2"/>
      <c r="C16" s="2"/>
      <c r="D16" s="2"/>
      <c r="E16" s="2"/>
      <c r="F16" s="2"/>
      <c r="G16" s="2"/>
      <c r="H16" s="2"/>
      <c r="I16" s="9"/>
    </row>
    <row r="17" spans="1:9" x14ac:dyDescent="0.2">
      <c r="A17" s="10"/>
      <c r="B17" s="2"/>
      <c r="C17" s="2"/>
      <c r="D17" s="16"/>
      <c r="E17" s="2"/>
      <c r="F17" s="2"/>
      <c r="G17" s="2"/>
      <c r="H17" s="2"/>
      <c r="I17" s="9"/>
    </row>
    <row r="18" spans="1:9" x14ac:dyDescent="0.2">
      <c r="A18" s="10"/>
      <c r="B18" s="2"/>
      <c r="C18" s="2"/>
      <c r="D18" s="2"/>
      <c r="E18" s="2"/>
      <c r="F18" s="2"/>
      <c r="G18" s="2"/>
      <c r="H18" s="2"/>
      <c r="I18" s="9"/>
    </row>
    <row r="19" spans="1:9" x14ac:dyDescent="0.2">
      <c r="A19" s="10"/>
      <c r="B19" s="2"/>
      <c r="C19" s="2"/>
      <c r="D19" s="2"/>
      <c r="E19" s="2"/>
      <c r="F19" s="2"/>
      <c r="G19" s="2"/>
      <c r="H19" s="2"/>
      <c r="I19" s="9"/>
    </row>
    <row r="20" spans="1:9" x14ac:dyDescent="0.2">
      <c r="A20" s="10"/>
      <c r="B20" s="2"/>
      <c r="C20" s="2"/>
      <c r="D20" s="2"/>
      <c r="E20" s="2"/>
      <c r="F20" s="2"/>
      <c r="G20" s="2"/>
      <c r="H20" s="2"/>
      <c r="I20" s="9"/>
    </row>
    <row r="21" spans="1:9" x14ac:dyDescent="0.2">
      <c r="A21" s="10"/>
      <c r="B21" s="2"/>
      <c r="C21" s="2"/>
      <c r="D21" s="2"/>
      <c r="E21" s="2"/>
      <c r="F21" s="2"/>
      <c r="G21" s="2"/>
      <c r="H21" s="2"/>
      <c r="I21" s="9"/>
    </row>
    <row r="22" spans="1:9" x14ac:dyDescent="0.2">
      <c r="A22" s="10"/>
      <c r="B22" s="2"/>
      <c r="C22" s="2"/>
      <c r="D22" s="2"/>
      <c r="E22" s="2"/>
      <c r="F22" s="2"/>
      <c r="G22" s="2"/>
      <c r="H22" s="2"/>
      <c r="I22" s="9"/>
    </row>
    <row r="23" spans="1:9" x14ac:dyDescent="0.2">
      <c r="A23" s="10"/>
      <c r="B23" s="2"/>
      <c r="C23" s="2"/>
      <c r="D23" s="2"/>
      <c r="E23" s="2"/>
      <c r="F23" s="2"/>
      <c r="G23" s="2"/>
      <c r="H23" s="2"/>
      <c r="I23" s="9"/>
    </row>
    <row r="24" spans="1:9" x14ac:dyDescent="0.2">
      <c r="A24" s="10"/>
      <c r="B24" s="2"/>
      <c r="C24" s="2"/>
      <c r="D24" s="2"/>
      <c r="E24" s="2"/>
      <c r="F24" s="2"/>
      <c r="G24" s="2"/>
      <c r="H24" s="2"/>
      <c r="I24" s="9"/>
    </row>
    <row r="25" spans="1:9" x14ac:dyDescent="0.2">
      <c r="A25" s="10"/>
      <c r="B25" s="2"/>
      <c r="C25" s="2"/>
      <c r="D25" s="2"/>
      <c r="E25" s="2"/>
      <c r="F25" s="2"/>
      <c r="G25" s="2"/>
      <c r="H25" s="2"/>
      <c r="I25" s="9"/>
    </row>
    <row r="26" spans="1:9" x14ac:dyDescent="0.2">
      <c r="A26" s="10"/>
      <c r="B26" s="2"/>
      <c r="C26" s="2"/>
      <c r="D26" s="2"/>
      <c r="E26" s="2"/>
      <c r="F26" s="2"/>
      <c r="G26" s="2"/>
      <c r="H26" s="2"/>
      <c r="I26" s="9"/>
    </row>
    <row r="27" spans="1:9" x14ac:dyDescent="0.2">
      <c r="A27" s="10"/>
      <c r="B27" s="2"/>
      <c r="C27" s="2"/>
      <c r="D27" s="2"/>
      <c r="E27" s="2"/>
      <c r="F27" s="2"/>
      <c r="G27" s="2"/>
      <c r="H27" s="2"/>
      <c r="I27" s="9"/>
    </row>
    <row r="28" spans="1:9" x14ac:dyDescent="0.2">
      <c r="A28" s="10"/>
      <c r="B28" s="2"/>
      <c r="C28" s="2"/>
      <c r="D28" s="13"/>
      <c r="E28" s="2"/>
      <c r="F28" s="2"/>
      <c r="G28" s="2"/>
      <c r="H28" s="2"/>
      <c r="I28" s="9"/>
    </row>
    <row r="29" spans="1:9" ht="13.5" thickBot="1" x14ac:dyDescent="0.25">
      <c r="A29" s="47" t="s">
        <v>61</v>
      </c>
      <c r="B29" s="14"/>
      <c r="C29" s="14"/>
      <c r="D29" s="14"/>
      <c r="E29" s="14"/>
      <c r="F29" s="14"/>
      <c r="G29" s="14"/>
      <c r="H29" s="14"/>
      <c r="I29" s="15"/>
    </row>
    <row r="30" spans="1:9" ht="10.5" hidden="1" customHeight="1" thickTop="1" thickBot="1" x14ac:dyDescent="0.25"/>
    <row r="31" spans="1:9" ht="14.25" hidden="1" thickTop="1" thickBot="1" x14ac:dyDescent="0.25">
      <c r="A31" s="35" t="s">
        <v>28</v>
      </c>
      <c r="B31" s="36" t="s">
        <v>50</v>
      </c>
      <c r="C31" s="37" t="s">
        <v>51</v>
      </c>
      <c r="D31" s="32" t="s">
        <v>52</v>
      </c>
      <c r="E31" s="31" t="s">
        <v>1</v>
      </c>
      <c r="F31" s="32" t="s">
        <v>27</v>
      </c>
    </row>
    <row r="32" spans="1:9" hidden="1" x14ac:dyDescent="0.2">
      <c r="A32" s="27" t="s">
        <v>7</v>
      </c>
      <c r="B32" s="38">
        <f>-0.0686*$B$6^3+0.4452*$B$6^2-0.2932*$B$6+14.435</f>
        <v>15.995000000000001</v>
      </c>
      <c r="C32" s="38">
        <f>-0.041*$B$6^3+0.1233*$B$6^2+156.5*$B$6-0.3704</f>
        <v>624.97839999999997</v>
      </c>
      <c r="D32" s="39">
        <f>(C32/1000)/((B32/100)^0.5)</f>
        <v>1.562690189420886</v>
      </c>
      <c r="E32" s="33">
        <v>0.5</v>
      </c>
      <c r="F32" s="3">
        <v>292</v>
      </c>
    </row>
    <row r="33" spans="1:6" hidden="1" x14ac:dyDescent="0.2">
      <c r="A33" s="22" t="s">
        <v>8</v>
      </c>
      <c r="B33" s="38">
        <f>0.0667*$B$6^3-0.7*$B$6^2+3.433*$B$6+11.2</f>
        <v>18.000799999999998</v>
      </c>
      <c r="C33" s="38">
        <f>-13.448*$B$6^3+43.791*$B$6^2+471.2*$B$6-0.768</f>
        <v>1724.0159999999998</v>
      </c>
      <c r="D33" s="39">
        <f t="shared" ref="D33:D40" si="0">(C33/1000)/((B33/100)^0.5)</f>
        <v>4.063454383597354</v>
      </c>
      <c r="E33" s="33">
        <v>1</v>
      </c>
      <c r="F33" s="3">
        <v>577</v>
      </c>
    </row>
    <row r="34" spans="1:6" hidden="1" x14ac:dyDescent="0.2">
      <c r="A34" s="21" t="s">
        <v>9</v>
      </c>
      <c r="B34" s="38">
        <f>-0.05*$B$6^3+0.3*$B$6^2+0.05*$B$6+14.2</f>
        <v>15.999999999999998</v>
      </c>
      <c r="C34" s="38">
        <f>0.0164*$B$6^3-0.2339*$B$6^2+263.29*$B$6-0.4288</f>
        <v>1050.0384000000001</v>
      </c>
      <c r="D34" s="39">
        <f t="shared" si="0"/>
        <v>2.6250960000000001</v>
      </c>
      <c r="E34" s="33">
        <v>2</v>
      </c>
      <c r="F34" s="3">
        <v>1152</v>
      </c>
    </row>
    <row r="35" spans="1:6" hidden="1" x14ac:dyDescent="0.2">
      <c r="A35" s="22" t="s">
        <v>10</v>
      </c>
      <c r="B35" s="38">
        <f>0.2333*$B$6^3-2.3*$B$6^2+9.2667*$B$6+6.8</f>
        <v>21.998000000000005</v>
      </c>
      <c r="C35" s="38">
        <f>-6.8048*$B$6^4+37.715*$B$6^3-69.668*$B$6^2+622.07*$B$6-6.3149</f>
        <v>2039.0083000000002</v>
      </c>
      <c r="D35" s="39">
        <f t="shared" si="0"/>
        <v>4.3473779147286846</v>
      </c>
      <c r="E35" s="33">
        <v>3</v>
      </c>
      <c r="F35" s="3">
        <v>1700</v>
      </c>
    </row>
    <row r="36" spans="1:6" ht="13.5" hidden="1" thickBot="1" x14ac:dyDescent="0.25">
      <c r="A36" s="21" t="s">
        <v>12</v>
      </c>
      <c r="B36" s="38">
        <f>-0.0167*$B$6^3+0.05*$B$6^2+0.7667*$B$6+13.2</f>
        <v>15.997999999999999</v>
      </c>
      <c r="C36" s="38">
        <f>-17.27*$B$6^3+67.206*$B$6^2+438.739*$B$6-2.906</f>
        <v>1722.066</v>
      </c>
      <c r="D36" s="39">
        <f t="shared" si="0"/>
        <v>4.3054340980407044</v>
      </c>
      <c r="E36" s="34">
        <v>4</v>
      </c>
      <c r="F36" s="4">
        <v>2039</v>
      </c>
    </row>
    <row r="37" spans="1:6" ht="13.5" hidden="1" thickTop="1" x14ac:dyDescent="0.2">
      <c r="A37" s="22" t="s">
        <v>14</v>
      </c>
      <c r="B37" s="38">
        <f>0.2333*$B$6^3-2.3*$B$6^2+9.2667*$B$6+6.8</f>
        <v>21.998000000000005</v>
      </c>
      <c r="C37" s="38">
        <f>-6.8048*$B$6^4+37.715*$B$6^3-69.668*$B$6^2+622.07*$B$6-6.3149</f>
        <v>2039.0083000000002</v>
      </c>
      <c r="D37" s="39">
        <f t="shared" si="0"/>
        <v>4.3473779147286846</v>
      </c>
      <c r="E37" s="41"/>
      <c r="F37" s="42"/>
    </row>
    <row r="38" spans="1:6" hidden="1" x14ac:dyDescent="0.2">
      <c r="A38" s="21" t="s">
        <v>3</v>
      </c>
      <c r="B38" s="38">
        <f>0.0833*$B$6^3-0.75*$B$6^2+3.1667*$B$6+12</f>
        <v>17.998000000000001</v>
      </c>
      <c r="C38" s="38">
        <f>-23.068*$B$6^3+69.731*$B$6^2+847.4845*$B$6+26.754</f>
        <v>3056.0360000000001</v>
      </c>
      <c r="D38" s="39">
        <f t="shared" si="0"/>
        <v>7.203546138625609</v>
      </c>
      <c r="E38" s="41"/>
      <c r="F38" s="42"/>
    </row>
    <row r="39" spans="1:6" hidden="1" x14ac:dyDescent="0.2">
      <c r="A39" s="22" t="s">
        <v>5</v>
      </c>
      <c r="B39" s="38">
        <f>-0.6967*$B$6^3+4.5857*$B$6^2-5.0754*$B$6+17.555</f>
        <v>26.035800000000002</v>
      </c>
      <c r="C39" s="38">
        <f>15.37*$B$6^5-163.91*$B$6^4+646.94*$B$6^3-1681*$B$6^2+4699.3*$B$6+21.352</f>
        <v>7104.6320000000023</v>
      </c>
      <c r="D39" s="39">
        <f t="shared" si="0"/>
        <v>13.923747027405078</v>
      </c>
      <c r="E39" s="41"/>
    </row>
    <row r="40" spans="1:6" ht="13.5" hidden="1" thickBot="1" x14ac:dyDescent="0.25">
      <c r="A40" s="23" t="s">
        <v>6</v>
      </c>
      <c r="B40" s="38">
        <f>0.1399*$B$6^3-1.8919*$B$6^2+9.7091*$B$6+14.408</f>
        <v>31.927599999999998</v>
      </c>
      <c r="C40" s="38">
        <f>-23.017*$B$6^5+256.6*$B$6^4-928.73*$B$6^3+429.48*$B$6^2+4810.1*$B$6-207.82</f>
        <v>8585.7320000000109</v>
      </c>
      <c r="D40" s="39">
        <f t="shared" si="0"/>
        <v>15.194772116173274</v>
      </c>
    </row>
    <row r="41" spans="1:6" ht="13.5" hidden="1" thickTop="1" x14ac:dyDescent="0.2"/>
    <row r="42" spans="1:6" hidden="1" x14ac:dyDescent="0.2"/>
    <row r="43" spans="1:6" hidden="1" x14ac:dyDescent="0.2"/>
    <row r="44" spans="1:6" hidden="1" x14ac:dyDescent="0.2"/>
    <row r="45" spans="1:6" hidden="1" x14ac:dyDescent="0.2"/>
    <row r="46" spans="1:6" hidden="1" x14ac:dyDescent="0.2"/>
    <row r="47" spans="1:6" hidden="1" x14ac:dyDescent="0.2"/>
    <row r="48" spans="1:6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t="13.5" thickTop="1" x14ac:dyDescent="0.2"/>
  </sheetData>
  <sheetProtection password="CA9C" sheet="1"/>
  <mergeCells count="4">
    <mergeCell ref="A9:A10"/>
    <mergeCell ref="B9:C9"/>
    <mergeCell ref="A1:F1"/>
    <mergeCell ref="A2:F2"/>
  </mergeCells>
  <phoneticPr fontId="0" type="noConversion"/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showGridLines="0" zoomScaleNormal="100" workbookViewId="0">
      <selection activeCell="O8" sqref="O8"/>
    </sheetView>
  </sheetViews>
  <sheetFormatPr baseColWidth="10" defaultColWidth="8.85546875" defaultRowHeight="12.75" x14ac:dyDescent="0.2"/>
  <cols>
    <col min="1" max="1" width="23.7109375" style="182" customWidth="1"/>
    <col min="2" max="2" width="14.28515625" style="182" customWidth="1"/>
    <col min="3" max="4" width="15.7109375" style="182" customWidth="1"/>
    <col min="5" max="6" width="10.7109375" style="182" customWidth="1"/>
    <col min="7" max="7" width="7.140625" style="182" customWidth="1"/>
    <col min="8" max="8" width="10.7109375" style="182" customWidth="1"/>
    <col min="9" max="9" width="20.42578125" style="182" bestFit="1" customWidth="1"/>
    <col min="10" max="10" width="8.85546875" style="182"/>
    <col min="11" max="11" width="36" style="182" bestFit="1" customWidth="1"/>
    <col min="12" max="12" width="8.85546875" style="182"/>
    <col min="13" max="14" width="20.28515625" style="182" bestFit="1" customWidth="1"/>
    <col min="15" max="16384" width="8.85546875" style="182"/>
  </cols>
  <sheetData>
    <row r="1" spans="1:11" ht="21" thickTop="1" x14ac:dyDescent="0.3">
      <c r="A1" s="227" t="s">
        <v>60</v>
      </c>
      <c r="B1" s="228"/>
      <c r="C1" s="228"/>
      <c r="D1" s="228"/>
      <c r="E1" s="228"/>
      <c r="F1" s="228"/>
      <c r="G1" s="228"/>
      <c r="H1" s="228"/>
      <c r="I1" s="208"/>
      <c r="J1" s="179"/>
    </row>
    <row r="2" spans="1:11" ht="21" thickBot="1" x14ac:dyDescent="0.35">
      <c r="A2" s="229" t="s">
        <v>104</v>
      </c>
      <c r="B2" s="230"/>
      <c r="C2" s="230"/>
      <c r="D2" s="230"/>
      <c r="E2" s="230"/>
      <c r="F2" s="230"/>
      <c r="G2" s="230"/>
      <c r="H2" s="230"/>
      <c r="I2" s="231"/>
      <c r="J2" s="179"/>
    </row>
    <row r="3" spans="1:11" ht="13.5" thickTop="1" x14ac:dyDescent="0.2">
      <c r="A3" s="187"/>
      <c r="B3" s="198"/>
      <c r="C3" s="198"/>
      <c r="D3" s="188"/>
      <c r="E3" s="188"/>
      <c r="F3" s="188"/>
      <c r="G3" s="188"/>
      <c r="H3" s="188"/>
      <c r="I3" s="189"/>
    </row>
    <row r="4" spans="1:11" x14ac:dyDescent="0.2">
      <c r="A4" s="191"/>
      <c r="B4" s="186" t="s">
        <v>0</v>
      </c>
      <c r="C4" s="183"/>
      <c r="E4" s="183"/>
      <c r="F4" s="183"/>
      <c r="G4" s="183"/>
      <c r="H4" s="183"/>
      <c r="I4" s="190"/>
    </row>
    <row r="5" spans="1:11" x14ac:dyDescent="0.2">
      <c r="A5" s="199" t="s">
        <v>144</v>
      </c>
      <c r="B5" s="127">
        <v>100</v>
      </c>
      <c r="C5" s="193" t="s">
        <v>70</v>
      </c>
      <c r="E5" s="183"/>
      <c r="F5" s="183"/>
      <c r="G5" s="183"/>
      <c r="H5" s="183"/>
      <c r="I5" s="190"/>
    </row>
    <row r="6" spans="1:11" x14ac:dyDescent="0.2">
      <c r="A6" s="199" t="s">
        <v>49</v>
      </c>
      <c r="B6" s="127">
        <v>4</v>
      </c>
      <c r="C6" s="193"/>
      <c r="E6" s="183"/>
      <c r="F6" s="192"/>
      <c r="G6" s="183"/>
      <c r="H6" s="183"/>
      <c r="I6" s="190"/>
    </row>
    <row r="7" spans="1:11" x14ac:dyDescent="0.2">
      <c r="A7" s="191"/>
      <c r="B7" s="183"/>
      <c r="C7" s="183"/>
      <c r="E7" s="183"/>
      <c r="F7" s="192"/>
      <c r="G7" s="183"/>
      <c r="H7" s="183"/>
      <c r="I7" s="190"/>
    </row>
    <row r="8" spans="1:11" ht="13.5" thickBot="1" x14ac:dyDescent="0.25">
      <c r="A8" s="191"/>
      <c r="B8" s="183"/>
      <c r="C8" s="183"/>
      <c r="D8" s="183"/>
      <c r="E8" s="183"/>
      <c r="F8" s="183"/>
      <c r="G8" s="183"/>
      <c r="H8" s="183"/>
      <c r="I8" s="190"/>
    </row>
    <row r="9" spans="1:11" ht="13.5" thickTop="1" x14ac:dyDescent="0.2">
      <c r="A9" s="243" t="s">
        <v>76</v>
      </c>
      <c r="B9" s="245" t="s">
        <v>107</v>
      </c>
      <c r="C9" s="246"/>
      <c r="D9" s="209" t="s">
        <v>108</v>
      </c>
      <c r="E9" s="183"/>
      <c r="F9" s="183"/>
      <c r="G9" s="183"/>
      <c r="H9" s="183"/>
      <c r="I9" s="190"/>
    </row>
    <row r="10" spans="1:11" x14ac:dyDescent="0.2">
      <c r="A10" s="244"/>
      <c r="B10" s="207" t="s">
        <v>145</v>
      </c>
      <c r="C10" s="207" t="s">
        <v>110</v>
      </c>
      <c r="D10" s="210" t="s">
        <v>145</v>
      </c>
      <c r="E10" s="183"/>
      <c r="F10" s="183"/>
      <c r="G10" s="183"/>
      <c r="H10" s="183"/>
      <c r="I10" s="190"/>
    </row>
    <row r="11" spans="1:11" x14ac:dyDescent="0.2">
      <c r="A11" s="213" t="s">
        <v>172</v>
      </c>
      <c r="B11" s="214" t="s">
        <v>45</v>
      </c>
      <c r="C11" s="214" t="s">
        <v>146</v>
      </c>
      <c r="D11" s="225">
        <f>IF($B$5&gt;800,"NOT POSSIBLE",IF($B$6&lt;0.6,"NOT POSSIBLE",(IF($B$6&gt;4,"NOT POSSIBLE",IF($B$5&gt;B39,C39,(1000*D39*(($B$5/100)^0.5)))))))</f>
        <v>15.000400000000003</v>
      </c>
      <c r="E11" s="183"/>
      <c r="F11" s="183"/>
      <c r="G11" s="183"/>
      <c r="H11" s="183"/>
      <c r="I11" s="190"/>
    </row>
    <row r="12" spans="1:11" x14ac:dyDescent="0.2">
      <c r="A12" s="216" t="s">
        <v>173</v>
      </c>
      <c r="B12" s="215" t="s">
        <v>44</v>
      </c>
      <c r="C12" s="215" t="s">
        <v>147</v>
      </c>
      <c r="D12" s="225">
        <f t="shared" ref="D12:D22" si="0">IF($B$5&gt;800,"NOT POSSIBLE",IF($B$6&lt;0.6,"NOT POSSIBLE",(IF($B$6&gt;4,"NOT POSSIBLE",IF($B$5&gt;B40,C40,(1000*D40*(($B$5/100)^0.5)))))))</f>
        <v>24.000399999999999</v>
      </c>
      <c r="E12" s="183"/>
      <c r="F12" s="183"/>
      <c r="G12" s="183"/>
      <c r="H12" s="183"/>
      <c r="I12" s="190"/>
    </row>
    <row r="13" spans="1:11" ht="12.75" customHeight="1" x14ac:dyDescent="0.2">
      <c r="A13" s="213" t="s">
        <v>175</v>
      </c>
      <c r="B13" s="214" t="s">
        <v>40</v>
      </c>
      <c r="C13" s="214" t="s">
        <v>112</v>
      </c>
      <c r="D13" s="225">
        <f t="shared" si="0"/>
        <v>25.000520000000002</v>
      </c>
      <c r="E13" s="183"/>
      <c r="F13" s="183"/>
      <c r="G13" s="183"/>
      <c r="H13" s="183"/>
      <c r="I13" s="190"/>
      <c r="K13" s="181"/>
    </row>
    <row r="14" spans="1:11" x14ac:dyDescent="0.2">
      <c r="A14" s="216" t="s">
        <v>174</v>
      </c>
      <c r="B14" s="215" t="s">
        <v>41</v>
      </c>
      <c r="C14" s="215" t="s">
        <v>148</v>
      </c>
      <c r="D14" s="225">
        <f t="shared" si="0"/>
        <v>35.007199999900003</v>
      </c>
      <c r="E14" s="183"/>
      <c r="F14" s="183"/>
      <c r="G14" s="183"/>
      <c r="H14" s="183"/>
      <c r="I14" s="190"/>
      <c r="K14" s="180"/>
    </row>
    <row r="15" spans="1:11" x14ac:dyDescent="0.2">
      <c r="A15" s="213" t="s">
        <v>177</v>
      </c>
      <c r="B15" s="214" t="s">
        <v>42</v>
      </c>
      <c r="C15" s="214" t="s">
        <v>114</v>
      </c>
      <c r="D15" s="225">
        <f t="shared" si="0"/>
        <v>34.0184</v>
      </c>
      <c r="E15" s="183"/>
      <c r="F15" s="183"/>
      <c r="G15" s="183"/>
      <c r="H15" s="183"/>
      <c r="I15" s="190"/>
    </row>
    <row r="16" spans="1:11" x14ac:dyDescent="0.2">
      <c r="A16" s="216" t="s">
        <v>176</v>
      </c>
      <c r="B16" s="215" t="s">
        <v>43</v>
      </c>
      <c r="C16" s="215" t="s">
        <v>149</v>
      </c>
      <c r="D16" s="225">
        <f t="shared" si="0"/>
        <v>43.034399999999998</v>
      </c>
      <c r="E16" s="183"/>
      <c r="F16" s="183"/>
      <c r="G16" s="183"/>
      <c r="H16" s="183"/>
      <c r="I16" s="190"/>
    </row>
    <row r="17" spans="1:9" x14ac:dyDescent="0.2">
      <c r="A17" s="213" t="s">
        <v>178</v>
      </c>
      <c r="B17" s="214" t="s">
        <v>151</v>
      </c>
      <c r="C17" s="214" t="s">
        <v>152</v>
      </c>
      <c r="D17" s="225">
        <f t="shared" si="0"/>
        <v>68.006049133000019</v>
      </c>
      <c r="E17" s="183"/>
      <c r="F17" s="183"/>
      <c r="G17" s="183"/>
      <c r="H17" s="183"/>
      <c r="I17" s="190"/>
    </row>
    <row r="18" spans="1:9" x14ac:dyDescent="0.2">
      <c r="A18" s="216" t="s">
        <v>179</v>
      </c>
      <c r="B18" s="215" t="s">
        <v>154</v>
      </c>
      <c r="C18" s="215" t="s">
        <v>148</v>
      </c>
      <c r="D18" s="225">
        <f t="shared" si="0"/>
        <v>89.996455378999997</v>
      </c>
      <c r="E18" s="183"/>
      <c r="F18" s="183"/>
      <c r="G18" s="183"/>
      <c r="H18" s="183"/>
      <c r="I18" s="190"/>
    </row>
    <row r="19" spans="1:9" x14ac:dyDescent="0.2">
      <c r="A19" s="213" t="s">
        <v>180</v>
      </c>
      <c r="B19" s="214" t="s">
        <v>156</v>
      </c>
      <c r="C19" s="214" t="s">
        <v>114</v>
      </c>
      <c r="D19" s="225">
        <f t="shared" si="0"/>
        <v>109.99987400000001</v>
      </c>
      <c r="E19" s="183"/>
      <c r="F19" s="183"/>
      <c r="G19" s="183"/>
      <c r="H19" s="183"/>
      <c r="I19" s="190"/>
    </row>
    <row r="20" spans="1:9" x14ac:dyDescent="0.2">
      <c r="A20" s="216" t="s">
        <v>181</v>
      </c>
      <c r="B20" s="215" t="s">
        <v>158</v>
      </c>
      <c r="C20" s="215" t="s">
        <v>159</v>
      </c>
      <c r="D20" s="225">
        <f t="shared" si="0"/>
        <v>135.00001599999999</v>
      </c>
      <c r="E20" s="183"/>
      <c r="F20" s="183"/>
      <c r="G20" s="183"/>
      <c r="H20" s="183"/>
      <c r="I20" s="190"/>
    </row>
    <row r="21" spans="1:9" x14ac:dyDescent="0.2">
      <c r="A21" s="213" t="s">
        <v>182</v>
      </c>
      <c r="B21" s="214" t="s">
        <v>161</v>
      </c>
      <c r="C21" s="214" t="s">
        <v>162</v>
      </c>
      <c r="D21" s="225">
        <f t="shared" si="0"/>
        <v>147.99631999999997</v>
      </c>
      <c r="E21" s="183"/>
      <c r="F21" s="183"/>
      <c r="G21" s="183"/>
      <c r="H21" s="183"/>
      <c r="I21" s="190"/>
    </row>
    <row r="22" spans="1:9" x14ac:dyDescent="0.2">
      <c r="A22" s="216" t="s">
        <v>182</v>
      </c>
      <c r="B22" s="215" t="s">
        <v>164</v>
      </c>
      <c r="C22" s="215" t="s">
        <v>165</v>
      </c>
      <c r="D22" s="225">
        <f t="shared" si="0"/>
        <v>195.00521999999998</v>
      </c>
      <c r="E22" s="183"/>
      <c r="F22" s="183"/>
      <c r="G22" s="183"/>
      <c r="H22" s="183"/>
      <c r="I22" s="190"/>
    </row>
    <row r="23" spans="1:9" x14ac:dyDescent="0.2">
      <c r="A23" s="213" t="s">
        <v>183</v>
      </c>
      <c r="B23" s="214" t="s">
        <v>167</v>
      </c>
      <c r="C23" s="214" t="s">
        <v>168</v>
      </c>
      <c r="D23" s="225">
        <f>IF($B$5&gt;800,"NOT POSSIBLE",IF($B$6&lt;1,"NOT POSSIBLE",(IF($B$6&gt;4,"NOT POSSIBLE",IF($B$5&gt;B51,C51,(1000*D51*(($B$5/100)^0.5)))))))</f>
        <v>210.00002000000001</v>
      </c>
      <c r="E23" s="183"/>
      <c r="F23" s="183"/>
      <c r="G23" s="183"/>
      <c r="H23" s="183"/>
      <c r="I23" s="190"/>
    </row>
    <row r="24" spans="1:9" ht="13.5" thickBot="1" x14ac:dyDescent="0.25">
      <c r="A24" s="217" t="s">
        <v>184</v>
      </c>
      <c r="B24" s="218" t="s">
        <v>170</v>
      </c>
      <c r="C24" s="218" t="s">
        <v>171</v>
      </c>
      <c r="D24" s="226">
        <f>IF($B$5&gt;800,"NOT POSSIBLE",IF($B$6&lt;1,"NOT POSSIBLE",(IF($B$6&gt;4,"NOT POSSIBLE",IF($B$5&gt;B52,C52,(1000*D52*(($B$5/100)^0.5)))))))</f>
        <v>280</v>
      </c>
      <c r="E24" s="183"/>
      <c r="F24" s="183"/>
      <c r="G24" s="183"/>
      <c r="H24" s="183"/>
      <c r="I24" s="190"/>
    </row>
    <row r="25" spans="1:9" ht="13.5" thickTop="1" x14ac:dyDescent="0.2">
      <c r="A25" s="191"/>
      <c r="B25" s="183"/>
      <c r="C25" s="183"/>
      <c r="D25" s="211" t="s">
        <v>71</v>
      </c>
      <c r="E25" s="183"/>
      <c r="F25" s="183"/>
      <c r="G25" s="183"/>
      <c r="H25" s="183"/>
      <c r="I25" s="190"/>
    </row>
    <row r="26" spans="1:9" x14ac:dyDescent="0.2">
      <c r="A26" s="191"/>
      <c r="B26" s="183"/>
      <c r="C26" s="183"/>
      <c r="D26" s="212" t="s">
        <v>128</v>
      </c>
      <c r="E26" s="183"/>
      <c r="F26" s="183"/>
      <c r="G26" s="183"/>
      <c r="H26" s="183"/>
      <c r="I26" s="190"/>
    </row>
    <row r="27" spans="1:9" x14ac:dyDescent="0.2">
      <c r="A27" s="191"/>
      <c r="B27" s="183"/>
      <c r="C27" s="183"/>
      <c r="E27" s="183"/>
      <c r="F27" s="183"/>
      <c r="G27" s="183"/>
      <c r="H27" s="183"/>
      <c r="I27" s="190"/>
    </row>
    <row r="28" spans="1:9" x14ac:dyDescent="0.2">
      <c r="A28" s="191"/>
      <c r="B28" s="183"/>
      <c r="C28" s="183"/>
      <c r="E28" s="183"/>
      <c r="F28" s="183"/>
      <c r="G28" s="183"/>
      <c r="H28" s="183"/>
      <c r="I28" s="190"/>
    </row>
    <row r="29" spans="1:9" x14ac:dyDescent="0.2">
      <c r="A29" s="191"/>
      <c r="B29" s="183"/>
      <c r="C29" s="183"/>
      <c r="E29" s="183"/>
      <c r="F29" s="183"/>
      <c r="G29" s="183"/>
      <c r="H29" s="183"/>
      <c r="I29" s="190"/>
    </row>
    <row r="30" spans="1:9" x14ac:dyDescent="0.2">
      <c r="A30" s="191"/>
      <c r="B30" s="183"/>
      <c r="C30" s="183"/>
      <c r="E30" s="183"/>
      <c r="F30" s="183"/>
      <c r="G30" s="183"/>
      <c r="H30" s="183"/>
      <c r="I30" s="190"/>
    </row>
    <row r="31" spans="1:9" x14ac:dyDescent="0.2">
      <c r="A31" s="191"/>
      <c r="B31" s="183"/>
      <c r="C31" s="183"/>
      <c r="E31" s="183"/>
      <c r="F31" s="183"/>
      <c r="G31" s="183"/>
      <c r="H31" s="183"/>
      <c r="I31" s="190"/>
    </row>
    <row r="32" spans="1:9" x14ac:dyDescent="0.2">
      <c r="A32" s="191"/>
      <c r="B32" s="183"/>
      <c r="C32" s="183"/>
      <c r="E32" s="183"/>
      <c r="F32" s="183"/>
      <c r="G32" s="183"/>
      <c r="H32" s="183"/>
      <c r="I32" s="190"/>
    </row>
    <row r="33" spans="1:9" x14ac:dyDescent="0.2">
      <c r="A33" s="191"/>
      <c r="B33" s="183"/>
      <c r="C33" s="183"/>
      <c r="E33" s="183"/>
      <c r="F33" s="183"/>
      <c r="G33" s="183"/>
      <c r="H33" s="183"/>
      <c r="I33" s="190"/>
    </row>
    <row r="34" spans="1:9" x14ac:dyDescent="0.2">
      <c r="A34" s="191"/>
      <c r="B34" s="183"/>
      <c r="C34" s="183"/>
      <c r="E34" s="183"/>
      <c r="F34" s="183"/>
      <c r="G34" s="183"/>
      <c r="H34" s="183"/>
      <c r="I34" s="190"/>
    </row>
    <row r="35" spans="1:9" x14ac:dyDescent="0.2">
      <c r="A35" s="191"/>
      <c r="B35" s="183"/>
      <c r="C35" s="183"/>
      <c r="D35" s="194"/>
      <c r="E35" s="183"/>
      <c r="F35" s="183"/>
      <c r="G35" s="183"/>
      <c r="H35" s="183"/>
      <c r="I35" s="190"/>
    </row>
    <row r="36" spans="1:9" ht="13.5" thickBot="1" x14ac:dyDescent="0.25">
      <c r="A36" s="195" t="s">
        <v>129</v>
      </c>
      <c r="B36" s="196"/>
      <c r="C36" s="196"/>
      <c r="D36" s="196"/>
      <c r="E36" s="196"/>
      <c r="F36" s="196"/>
      <c r="G36" s="196"/>
      <c r="H36" s="196"/>
      <c r="I36" s="197"/>
    </row>
    <row r="37" spans="1:9" ht="14.25" hidden="1" thickTop="1" thickBot="1" x14ac:dyDescent="0.25"/>
    <row r="38" spans="1:9" ht="14.25" hidden="1" thickTop="1" thickBot="1" x14ac:dyDescent="0.25">
      <c r="A38" s="204" t="s">
        <v>28</v>
      </c>
      <c r="B38" s="205" t="s">
        <v>50</v>
      </c>
      <c r="C38" s="206" t="s">
        <v>51</v>
      </c>
      <c r="D38" s="201" t="s">
        <v>52</v>
      </c>
      <c r="E38" s="200" t="s">
        <v>1</v>
      </c>
      <c r="F38" s="201" t="s">
        <v>27</v>
      </c>
    </row>
    <row r="39" spans="1:9" hidden="1" x14ac:dyDescent="0.2">
      <c r="A39" s="219" t="s">
        <v>34</v>
      </c>
      <c r="B39" s="220">
        <f>0.25*$B$6^3-0.25*$B$6^2+0.5*$B$6+6</f>
        <v>20</v>
      </c>
      <c r="C39" s="221">
        <f>(0.1887*$B$6^3-0.9812*$B$6^2+4.6557*$B$6)</f>
        <v>15.000400000000003</v>
      </c>
      <c r="D39" s="222">
        <f t="shared" ref="D39:D52" si="1">(C39/1000)/((B39/100)^0.5)</f>
        <v>3.3541914089687853E-2</v>
      </c>
      <c r="E39" s="202">
        <v>0.6</v>
      </c>
      <c r="F39" s="184">
        <v>32</v>
      </c>
    </row>
    <row r="40" spans="1:9" hidden="1" x14ac:dyDescent="0.2">
      <c r="A40" s="223" t="s">
        <v>35</v>
      </c>
      <c r="B40" s="220">
        <f>0.67*$B$6^3-0.5*$B$6^2-1.17*$B$6+20</f>
        <v>50.2</v>
      </c>
      <c r="C40" s="221">
        <f>(0.2591*B6^3-1.3509*B6^2+7.2581*B6)</f>
        <v>24.000399999999999</v>
      </c>
      <c r="D40" s="222">
        <f t="shared" si="1"/>
        <v>3.3874010773695139E-2</v>
      </c>
      <c r="E40" s="202">
        <v>1</v>
      </c>
      <c r="F40" s="184">
        <v>33</v>
      </c>
    </row>
    <row r="41" spans="1:9" hidden="1" x14ac:dyDescent="0.2">
      <c r="A41" s="224" t="s">
        <v>36</v>
      </c>
      <c r="B41" s="220">
        <f>0.67*$B$6^3-4.5*$B$6^2+11.83*$B$6+7</f>
        <v>25.200000000000003</v>
      </c>
      <c r="C41" s="221">
        <f>(-0.04198*B6^4+0.6749*B6^3-2.62437*B6^2+8.63593*B6)</f>
        <v>25.000520000000002</v>
      </c>
      <c r="D41" s="222">
        <f t="shared" si="1"/>
        <v>4.9802227920394501E-2</v>
      </c>
      <c r="E41" s="202">
        <v>2</v>
      </c>
      <c r="F41" s="184">
        <v>34</v>
      </c>
    </row>
    <row r="42" spans="1:9" hidden="1" x14ac:dyDescent="0.2">
      <c r="A42" s="223" t="s">
        <v>37</v>
      </c>
      <c r="B42" s="220">
        <f>2.67*$B$6^3-15.5*$B$6^2+29.83*$B$6+13</f>
        <v>55.199999999999989</v>
      </c>
      <c r="C42" s="221">
        <f>(-0.0596*B6^4+0.8992*B6^3-3.363*B6^2+11.631*B6-0.0000000001)</f>
        <v>35.007199999900003</v>
      </c>
      <c r="D42" s="222">
        <f t="shared" si="1"/>
        <v>4.7118107304191949E-2</v>
      </c>
      <c r="E42" s="202">
        <v>3</v>
      </c>
      <c r="F42" s="184">
        <v>46</v>
      </c>
    </row>
    <row r="43" spans="1:9" ht="13.5" hidden="1" thickBot="1" x14ac:dyDescent="0.25">
      <c r="A43" s="224" t="s">
        <v>38</v>
      </c>
      <c r="B43" s="220">
        <f>0.5*$B$6^3-3*$B$6^2+7.5*$B$6+11</f>
        <v>25</v>
      </c>
      <c r="C43" s="221">
        <f>(0.4778*B6^3-2.3158*B6^2+10.123*B6)</f>
        <v>34.0184</v>
      </c>
      <c r="D43" s="222">
        <f t="shared" si="1"/>
        <v>6.8036799999999995E-2</v>
      </c>
      <c r="E43" s="203">
        <v>4</v>
      </c>
      <c r="F43" s="185">
        <v>65</v>
      </c>
    </row>
    <row r="44" spans="1:9" ht="13.5" hidden="1" thickTop="1" x14ac:dyDescent="0.2">
      <c r="A44" s="223" t="s">
        <v>39</v>
      </c>
      <c r="B44" s="220">
        <f>2*$B$6^3-10.5*$B$6^2+19.5*$B$6+12</f>
        <v>50</v>
      </c>
      <c r="C44" s="221">
        <f>(0.5331*B6^3-2.7305*B6^2+13.151*B6)</f>
        <v>43.034399999999998</v>
      </c>
      <c r="D44" s="222">
        <f t="shared" si="1"/>
        <v>6.0859832128588719E-2</v>
      </c>
    </row>
    <row r="45" spans="1:9" hidden="1" x14ac:dyDescent="0.2">
      <c r="A45" s="224" t="s">
        <v>150</v>
      </c>
      <c r="B45" s="220">
        <f>B6^3-5.5*B6^2+11.5*B6+13</f>
        <v>35</v>
      </c>
      <c r="C45" s="221">
        <f>(1.328399697*B6^3-6.9416537297*B6^2+23.4516968098*B6+0.248140961)</f>
        <v>68.006049133000019</v>
      </c>
      <c r="D45" s="222">
        <f t="shared" si="1"/>
        <v>0.11495120354406302</v>
      </c>
    </row>
    <row r="46" spans="1:9" hidden="1" x14ac:dyDescent="0.2">
      <c r="A46" s="223" t="s">
        <v>153</v>
      </c>
      <c r="B46" s="220">
        <f>2.5*B6^3-12.5*B6^2+25*B6+15</f>
        <v>75</v>
      </c>
      <c r="C46" s="221">
        <f>(1.9072906155*B6^3-9.8453485213*B6^2+31.629087454*B6-1.0609174882)</f>
        <v>89.996455378999997</v>
      </c>
      <c r="D46" s="222">
        <f t="shared" si="1"/>
        <v>0.1039189554783556</v>
      </c>
    </row>
    <row r="47" spans="1:9" hidden="1" x14ac:dyDescent="0.2">
      <c r="A47" s="224" t="s">
        <v>155</v>
      </c>
      <c r="B47" s="220">
        <f>1.67*B6^3-9.5*B6^2+18.83*B6+5</f>
        <v>35.199999999999989</v>
      </c>
      <c r="C47" s="221">
        <f>(0.333508*B6^4-1.501751*B6^3+0.922794*B6^2+25.741246*B6+3.004202)</f>
        <v>109.99987400000001</v>
      </c>
      <c r="D47" s="222">
        <f t="shared" si="1"/>
        <v>0.18540474980443497</v>
      </c>
    </row>
    <row r="48" spans="1:9" hidden="1" x14ac:dyDescent="0.2">
      <c r="A48" s="223" t="s">
        <v>157</v>
      </c>
      <c r="B48" s="220">
        <f>2.33*B6^3-13*B6^2+24.67*B6+13</f>
        <v>52.800000000000011</v>
      </c>
      <c r="C48" s="221">
        <f>(0.252101*B6^4-0.354342*B6^3-4.426471*B6^2+40.978291*B6+0.05042)</f>
        <v>135.00001599999999</v>
      </c>
      <c r="D48" s="222">
        <f t="shared" si="1"/>
        <v>0.18578765738434863</v>
      </c>
    </row>
    <row r="49" spans="1:4" hidden="1" x14ac:dyDescent="0.2">
      <c r="A49" s="224" t="s">
        <v>160</v>
      </c>
      <c r="B49" s="220">
        <f>IF(B6&lt;2,21,(-1.666667*B6^3+13.5*B6^2-27.833333*B6+37))</f>
        <v>34.999980000000008</v>
      </c>
      <c r="C49" s="221">
        <f>((-208.33*B6^4+2916.7*B6^3-10592*B6^2+45683*B6+1400)/1000)</f>
        <v>147.99631999999997</v>
      </c>
      <c r="D49" s="222">
        <f t="shared" si="1"/>
        <v>0.25015951053848207</v>
      </c>
    </row>
    <row r="50" spans="1:4" hidden="1" x14ac:dyDescent="0.2">
      <c r="A50" s="223" t="s">
        <v>163</v>
      </c>
      <c r="B50" s="220">
        <f>IF(B6&lt;2,33,(-0.666667*B6^3+9.5*B6^2-22.833333*B6+47))</f>
        <v>64.999980000000008</v>
      </c>
      <c r="C50" s="221">
        <f>((-194.33*B6^4+4109.9*B6^3-17301*B6^2+65050*B6-1663.9)/1000)</f>
        <v>195.00521999999998</v>
      </c>
      <c r="D50" s="222">
        <f t="shared" si="1"/>
        <v>0.24187424427352708</v>
      </c>
    </row>
    <row r="51" spans="1:4" hidden="1" x14ac:dyDescent="0.2">
      <c r="A51" s="224" t="s">
        <v>166</v>
      </c>
      <c r="B51" s="220">
        <f>IF(B6&lt;1,11,(-0.5*B6^3+4.5*B6^2-5*B6+12))</f>
        <v>32</v>
      </c>
      <c r="C51" s="221">
        <f>(-0.833333*B6^3+10*B6^2+5.833333*B6+80)</f>
        <v>210.00002000000001</v>
      </c>
      <c r="D51" s="222">
        <f t="shared" si="1"/>
        <v>0.37123109547827654</v>
      </c>
    </row>
    <row r="52" spans="1:4" hidden="1" x14ac:dyDescent="0.2">
      <c r="A52" s="223" t="s">
        <v>169</v>
      </c>
      <c r="B52" s="220">
        <f>IF(B6&lt;1,31,(-2.1666667*B6^3+18*B6^2-28.833333*B6+44))</f>
        <v>77.999999200000005</v>
      </c>
      <c r="C52" s="221">
        <f>(5*B6^2+25*B6+100)</f>
        <v>280</v>
      </c>
      <c r="D52" s="222">
        <f t="shared" si="1"/>
        <v>0.31703757118632053</v>
      </c>
    </row>
    <row r="53" spans="1:4" hidden="1" x14ac:dyDescent="0.2"/>
    <row r="54" spans="1:4" hidden="1" x14ac:dyDescent="0.2"/>
    <row r="55" spans="1:4" hidden="1" x14ac:dyDescent="0.2"/>
    <row r="56" spans="1:4" ht="13.5" thickTop="1" x14ac:dyDescent="0.2"/>
  </sheetData>
  <sheetProtection password="EF28" sheet="1" objects="1" scenarios="1"/>
  <mergeCells count="4">
    <mergeCell ref="A1:H1"/>
    <mergeCell ref="A2:I2"/>
    <mergeCell ref="A9:A10"/>
    <mergeCell ref="B9:C9"/>
  </mergeCells>
  <conditionalFormatting sqref="D26">
    <cfRule type="cellIs" dxfId="31" priority="25" operator="equal">
      <formula>"Outside DP-range"</formula>
    </cfRule>
    <cfRule type="cellIs" dxfId="30" priority="26" operator="equal">
      <formula>"Under DP område"</formula>
    </cfRule>
  </conditionalFormatting>
  <conditionalFormatting sqref="D11">
    <cfRule type="cellIs" dxfId="29" priority="24" operator="lessThan">
      <formula>$C$39</formula>
    </cfRule>
  </conditionalFormatting>
  <conditionalFormatting sqref="D12">
    <cfRule type="cellIs" dxfId="28" priority="23" operator="lessThan">
      <formula>$C$40</formula>
    </cfRule>
  </conditionalFormatting>
  <conditionalFormatting sqref="D13">
    <cfRule type="cellIs" dxfId="27" priority="22" operator="lessThan">
      <formula>$C$41</formula>
    </cfRule>
  </conditionalFormatting>
  <conditionalFormatting sqref="D14">
    <cfRule type="cellIs" dxfId="26" priority="21" operator="lessThan">
      <formula>$C$42</formula>
    </cfRule>
  </conditionalFormatting>
  <conditionalFormatting sqref="D15">
    <cfRule type="cellIs" dxfId="25" priority="20" operator="lessThan">
      <formula>$C$43</formula>
    </cfRule>
  </conditionalFormatting>
  <conditionalFormatting sqref="D16">
    <cfRule type="cellIs" dxfId="24" priority="19" operator="lessThan">
      <formula>$C$44</formula>
    </cfRule>
  </conditionalFormatting>
  <conditionalFormatting sqref="D19">
    <cfRule type="cellIs" dxfId="23" priority="13" operator="lessThan">
      <formula>$C$47</formula>
    </cfRule>
    <cfRule type="cellIs" dxfId="22" priority="14" operator="lessThan">
      <formula>$B$47</formula>
    </cfRule>
    <cfRule type="cellIs" dxfId="21" priority="18" operator="lessThan">
      <formula>$C$45</formula>
    </cfRule>
  </conditionalFormatting>
  <conditionalFormatting sqref="D20">
    <cfRule type="cellIs" dxfId="20" priority="12" operator="lessThan">
      <formula>$C$48</formula>
    </cfRule>
    <cfRule type="cellIs" dxfId="19" priority="17" operator="lessThan">
      <formula>$C$46</formula>
    </cfRule>
  </conditionalFormatting>
  <conditionalFormatting sqref="D17">
    <cfRule type="cellIs" dxfId="18" priority="16" operator="lessThan">
      <formula>$C$45</formula>
    </cfRule>
  </conditionalFormatting>
  <conditionalFormatting sqref="D18">
    <cfRule type="cellIs" dxfId="17" priority="15" operator="lessThan">
      <formula>$C$46</formula>
    </cfRule>
  </conditionalFormatting>
  <conditionalFormatting sqref="D23:D24">
    <cfRule type="cellIs" dxfId="16" priority="11" operator="lessThan">
      <formula>$C$39</formula>
    </cfRule>
  </conditionalFormatting>
  <conditionalFormatting sqref="D23">
    <cfRule type="cellIs" dxfId="15" priority="2" operator="lessThan">
      <formula>$C$51</formula>
    </cfRule>
    <cfRule type="cellIs" dxfId="14" priority="10" operator="lessThan">
      <formula>$C$49</formula>
    </cfRule>
  </conditionalFormatting>
  <conditionalFormatting sqref="D24">
    <cfRule type="cellIs" dxfId="13" priority="1" operator="lessThan">
      <formula>$C$52</formula>
    </cfRule>
    <cfRule type="cellIs" dxfId="12" priority="9" operator="lessThan">
      <formula>$C$50</formula>
    </cfRule>
  </conditionalFormatting>
  <conditionalFormatting sqref="D21:D22">
    <cfRule type="cellIs" dxfId="11" priority="8" operator="lessThan">
      <formula>$C$39</formula>
    </cfRule>
  </conditionalFormatting>
  <conditionalFormatting sqref="D21">
    <cfRule type="cellIs" dxfId="10" priority="4" operator="lessThan">
      <formula>$C$49</formula>
    </cfRule>
    <cfRule type="cellIs" dxfId="9" priority="5" operator="lessThan">
      <formula>$C$47</formula>
    </cfRule>
    <cfRule type="cellIs" dxfId="8" priority="7" operator="lessThan">
      <formula>$C$49</formula>
    </cfRule>
  </conditionalFormatting>
  <conditionalFormatting sqref="D22">
    <cfRule type="cellIs" dxfId="7" priority="3" operator="lessThan">
      <formula>$C$50</formula>
    </cfRule>
    <cfRule type="cellIs" dxfId="6" priority="6" operator="lessThan">
      <formula>$C$50</formula>
    </cfRule>
  </conditionalFormatting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6"/>
  <sheetViews>
    <sheetView showGridLines="0" workbookViewId="0">
      <selection activeCell="P7" sqref="P7"/>
    </sheetView>
  </sheetViews>
  <sheetFormatPr baseColWidth="10" defaultRowHeight="12.75" x14ac:dyDescent="0.2"/>
  <cols>
    <col min="6" max="6" width="13.7109375" bestFit="1" customWidth="1"/>
  </cols>
  <sheetData>
    <row r="1" spans="1:14" ht="21" thickTop="1" x14ac:dyDescent="0.3">
      <c r="A1" s="239" t="s">
        <v>103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52"/>
    </row>
    <row r="2" spans="1:14" ht="20.25" x14ac:dyDescent="0.3">
      <c r="A2" s="247" t="s">
        <v>104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9"/>
    </row>
    <row r="3" spans="1:14" ht="18" x14ac:dyDescent="0.25">
      <c r="A3" s="97"/>
      <c r="B3" s="53"/>
      <c r="C3" s="53"/>
      <c r="D3" s="53"/>
      <c r="E3" s="53"/>
      <c r="F3" s="53"/>
      <c r="G3" s="53"/>
      <c r="H3" s="66"/>
      <c r="I3" s="66"/>
      <c r="J3" s="66"/>
      <c r="K3" s="66"/>
      <c r="L3" s="66"/>
      <c r="M3" s="66"/>
      <c r="N3" s="95"/>
    </row>
    <row r="4" spans="1:14" x14ac:dyDescent="0.2">
      <c r="A4" s="57"/>
      <c r="B4" s="58"/>
      <c r="C4" s="53"/>
      <c r="D4" s="56" t="s">
        <v>0</v>
      </c>
      <c r="E4" s="53"/>
      <c r="F4" s="52"/>
      <c r="G4" s="69"/>
      <c r="H4" s="69"/>
      <c r="I4" s="52"/>
      <c r="J4" s="52"/>
      <c r="K4" s="52"/>
      <c r="L4" s="52"/>
      <c r="M4" s="52"/>
      <c r="N4" s="85"/>
    </row>
    <row r="5" spans="1:14" x14ac:dyDescent="0.2">
      <c r="A5" s="57"/>
      <c r="B5" s="69"/>
      <c r="C5" s="101" t="s">
        <v>99</v>
      </c>
      <c r="D5" s="123">
        <v>1</v>
      </c>
      <c r="E5" s="98" t="s">
        <v>70</v>
      </c>
      <c r="F5" s="122"/>
      <c r="G5" s="121"/>
      <c r="H5" s="69"/>
      <c r="I5" s="52"/>
      <c r="J5" s="52"/>
      <c r="K5" s="52"/>
      <c r="L5" s="52"/>
      <c r="M5" s="52"/>
      <c r="N5" s="95"/>
    </row>
    <row r="6" spans="1:14" x14ac:dyDescent="0.2">
      <c r="A6" s="57"/>
      <c r="B6" s="96"/>
      <c r="C6" s="101" t="s">
        <v>105</v>
      </c>
      <c r="D6" s="51">
        <v>4911490</v>
      </c>
      <c r="E6" s="53"/>
      <c r="F6" s="58"/>
      <c r="G6" s="58"/>
      <c r="H6" s="69"/>
      <c r="I6" s="69"/>
      <c r="J6" s="68"/>
      <c r="K6" s="68"/>
      <c r="L6" s="68"/>
      <c r="M6" s="68"/>
      <c r="N6" s="85"/>
    </row>
    <row r="7" spans="1:14" x14ac:dyDescent="0.2">
      <c r="A7" s="57"/>
      <c r="B7" s="52"/>
      <c r="C7" s="52"/>
      <c r="D7" s="52"/>
      <c r="E7" s="53"/>
      <c r="F7" s="52"/>
      <c r="G7" s="52"/>
      <c r="H7" s="52"/>
      <c r="I7" s="52"/>
      <c r="J7" s="52"/>
      <c r="K7" s="52"/>
      <c r="L7" s="52"/>
      <c r="M7" s="52"/>
      <c r="N7" s="95"/>
    </row>
    <row r="8" spans="1:14" x14ac:dyDescent="0.2">
      <c r="A8" s="57"/>
      <c r="B8" s="52"/>
      <c r="C8" s="52"/>
      <c r="D8" s="52"/>
      <c r="E8" s="53"/>
      <c r="F8" s="52"/>
      <c r="G8" s="52"/>
      <c r="H8" s="52"/>
      <c r="I8" s="52"/>
      <c r="J8" s="52"/>
      <c r="K8" s="52"/>
      <c r="L8" s="52"/>
      <c r="M8" s="52"/>
      <c r="N8" s="95"/>
    </row>
    <row r="9" spans="1:14" x14ac:dyDescent="0.2">
      <c r="A9" s="57"/>
      <c r="B9" s="52"/>
      <c r="C9" s="58"/>
      <c r="D9" s="52"/>
      <c r="E9" s="53"/>
      <c r="F9" s="52"/>
      <c r="G9" s="52"/>
      <c r="H9" s="52"/>
      <c r="I9" s="52"/>
      <c r="J9" s="52"/>
      <c r="K9" s="52"/>
      <c r="L9" s="52"/>
      <c r="M9" s="52"/>
      <c r="N9" s="95"/>
    </row>
    <row r="10" spans="1:14" x14ac:dyDescent="0.2">
      <c r="A10" s="57"/>
      <c r="B10" s="69"/>
      <c r="C10" s="111" t="s">
        <v>100</v>
      </c>
      <c r="D10" s="120">
        <f>IF(D5&gt;C37,"NOT POSSIBLE",IF(D5&lt;C36,(((D5/100)^0.5)*C34*1000),C35))</f>
        <v>88.752031396036656</v>
      </c>
      <c r="E10" s="69" t="s">
        <v>72</v>
      </c>
      <c r="F10" s="69"/>
      <c r="G10" s="69"/>
      <c r="H10" s="69"/>
      <c r="I10" s="69"/>
      <c r="J10" s="69"/>
      <c r="K10" s="69"/>
      <c r="L10" s="69"/>
      <c r="M10" s="69"/>
      <c r="N10" s="95"/>
    </row>
    <row r="11" spans="1:14" x14ac:dyDescent="0.2">
      <c r="A11" s="57"/>
      <c r="B11" s="58"/>
      <c r="C11" s="58"/>
      <c r="D11" s="58"/>
      <c r="E11" s="67"/>
      <c r="F11" s="52"/>
      <c r="G11" s="52"/>
      <c r="H11" s="52"/>
      <c r="I11" s="52"/>
      <c r="J11" s="52"/>
      <c r="K11" s="52"/>
      <c r="L11" s="52"/>
      <c r="M11" s="52"/>
      <c r="N11" s="85"/>
    </row>
    <row r="12" spans="1:14" x14ac:dyDescent="0.2">
      <c r="A12" s="57"/>
      <c r="B12" s="58"/>
      <c r="C12" s="67"/>
      <c r="D12" s="58"/>
      <c r="E12" s="53"/>
      <c r="F12" s="52"/>
      <c r="G12" s="52"/>
      <c r="H12" s="52"/>
      <c r="I12" s="52"/>
      <c r="J12" s="52"/>
      <c r="K12" s="52"/>
      <c r="L12" s="52"/>
      <c r="M12" s="52"/>
      <c r="N12" s="94"/>
    </row>
    <row r="13" spans="1:14" x14ac:dyDescent="0.2">
      <c r="A13" s="57"/>
      <c r="B13" s="69"/>
      <c r="C13" s="52"/>
      <c r="D13" s="52"/>
      <c r="E13" s="66"/>
      <c r="F13" s="52"/>
      <c r="G13" s="52"/>
      <c r="H13" s="52"/>
      <c r="I13" s="52"/>
      <c r="J13" s="52"/>
      <c r="K13" s="52"/>
      <c r="L13" s="52"/>
      <c r="M13" s="52"/>
      <c r="N13" s="85"/>
    </row>
    <row r="14" spans="1:14" ht="13.5" thickBot="1" x14ac:dyDescent="0.25">
      <c r="A14" s="57"/>
      <c r="B14" s="66"/>
      <c r="C14" s="66"/>
      <c r="D14" s="66"/>
      <c r="E14" s="66"/>
      <c r="F14" s="69"/>
      <c r="G14" s="69"/>
      <c r="H14" s="69"/>
      <c r="I14" s="69"/>
      <c r="J14" s="69"/>
      <c r="K14" s="69"/>
      <c r="L14" s="69"/>
      <c r="M14" s="69"/>
      <c r="N14" s="85"/>
    </row>
    <row r="15" spans="1:14" ht="13.5" thickBot="1" x14ac:dyDescent="0.25">
      <c r="A15" s="57"/>
      <c r="B15" s="250" t="s">
        <v>73</v>
      </c>
      <c r="C15" s="251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85"/>
    </row>
    <row r="16" spans="1:14" x14ac:dyDescent="0.2">
      <c r="A16" s="57"/>
      <c r="B16" s="93" t="s">
        <v>74</v>
      </c>
      <c r="C16" s="92" t="s">
        <v>75</v>
      </c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85"/>
    </row>
    <row r="17" spans="1:14" x14ac:dyDescent="0.2">
      <c r="A17" s="57"/>
      <c r="B17" s="82" t="s">
        <v>76</v>
      </c>
      <c r="C17" s="91" t="s">
        <v>77</v>
      </c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85"/>
    </row>
    <row r="18" spans="1:14" ht="13.5" thickBot="1" x14ac:dyDescent="0.25">
      <c r="A18" s="57"/>
      <c r="B18" s="81" t="s">
        <v>78</v>
      </c>
      <c r="C18" s="80" t="s">
        <v>72</v>
      </c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85"/>
    </row>
    <row r="19" spans="1:14" x14ac:dyDescent="0.2">
      <c r="A19" s="57"/>
      <c r="B19" s="90">
        <v>15</v>
      </c>
      <c r="C19" s="89" t="s">
        <v>79</v>
      </c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85"/>
    </row>
    <row r="20" spans="1:14" x14ac:dyDescent="0.2">
      <c r="A20" s="57"/>
      <c r="B20" s="79">
        <v>20</v>
      </c>
      <c r="C20" s="78" t="s">
        <v>79</v>
      </c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85"/>
    </row>
    <row r="21" spans="1:14" x14ac:dyDescent="0.2">
      <c r="A21" s="57"/>
      <c r="B21" s="87">
        <v>25</v>
      </c>
      <c r="C21" s="88" t="s">
        <v>79</v>
      </c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85"/>
    </row>
    <row r="22" spans="1:14" x14ac:dyDescent="0.2">
      <c r="A22" s="57"/>
      <c r="B22" s="77"/>
      <c r="C22" s="76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85"/>
    </row>
    <row r="23" spans="1:14" x14ac:dyDescent="0.2">
      <c r="A23" s="57"/>
      <c r="B23" s="87" t="s">
        <v>80</v>
      </c>
      <c r="C23" s="86" t="s">
        <v>81</v>
      </c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85"/>
    </row>
    <row r="24" spans="1:14" x14ac:dyDescent="0.2">
      <c r="A24" s="57"/>
      <c r="B24" s="77">
        <v>32</v>
      </c>
      <c r="C24" s="76" t="s">
        <v>81</v>
      </c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85"/>
    </row>
    <row r="25" spans="1:14" x14ac:dyDescent="0.2">
      <c r="A25" s="57"/>
      <c r="B25" s="87">
        <v>40</v>
      </c>
      <c r="C25" s="86" t="s">
        <v>81</v>
      </c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85"/>
    </row>
    <row r="26" spans="1:14" ht="13.5" thickBot="1" x14ac:dyDescent="0.25">
      <c r="A26" s="57"/>
      <c r="B26" s="75">
        <v>50</v>
      </c>
      <c r="C26" s="74" t="s">
        <v>81</v>
      </c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85"/>
    </row>
    <row r="27" spans="1:14" ht="13.5" thickBot="1" x14ac:dyDescent="0.25">
      <c r="A27" s="57"/>
      <c r="B27" s="67"/>
      <c r="C27" s="67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85"/>
    </row>
    <row r="28" spans="1:14" x14ac:dyDescent="0.2">
      <c r="A28" s="57"/>
      <c r="B28" s="112" t="s">
        <v>82</v>
      </c>
      <c r="C28" s="113" t="s">
        <v>83</v>
      </c>
      <c r="D28" s="114" t="s">
        <v>84</v>
      </c>
      <c r="E28" s="69"/>
      <c r="F28" s="69"/>
      <c r="G28" s="69"/>
      <c r="H28" s="69"/>
      <c r="I28" s="69"/>
      <c r="J28" s="69"/>
      <c r="K28" s="69"/>
      <c r="L28" s="69"/>
      <c r="M28" s="69"/>
      <c r="N28" s="85"/>
    </row>
    <row r="29" spans="1:14" x14ac:dyDescent="0.2">
      <c r="A29" s="57"/>
      <c r="B29" s="115" t="s">
        <v>85</v>
      </c>
      <c r="C29" s="116" t="s">
        <v>86</v>
      </c>
      <c r="D29" s="78" t="s">
        <v>87</v>
      </c>
      <c r="E29" s="69"/>
      <c r="F29" s="69"/>
      <c r="G29" s="69"/>
      <c r="H29" s="69"/>
      <c r="I29" s="69"/>
      <c r="J29" s="69"/>
      <c r="K29" s="69"/>
      <c r="L29" s="69"/>
      <c r="M29" s="69"/>
      <c r="N29" s="85"/>
    </row>
    <row r="30" spans="1:14" ht="13.5" thickBot="1" x14ac:dyDescent="0.25">
      <c r="A30" s="57"/>
      <c r="B30" s="117" t="s">
        <v>88</v>
      </c>
      <c r="C30" s="118" t="s">
        <v>89</v>
      </c>
      <c r="D30" s="74" t="s">
        <v>90</v>
      </c>
      <c r="E30" s="69"/>
      <c r="F30" s="69"/>
      <c r="G30" s="69"/>
      <c r="H30" s="69"/>
      <c r="I30" s="69"/>
      <c r="J30" s="69"/>
      <c r="K30" s="69"/>
      <c r="L30" s="69"/>
      <c r="M30" s="69"/>
      <c r="N30" s="85"/>
    </row>
    <row r="31" spans="1:14" x14ac:dyDescent="0.2">
      <c r="A31" s="57"/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85"/>
    </row>
    <row r="32" spans="1:14" ht="13.5" thickBot="1" x14ac:dyDescent="0.25">
      <c r="A32" s="119" t="s">
        <v>91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3"/>
    </row>
    <row r="33" spans="1:14" ht="13.5" thickTop="1" x14ac:dyDescent="0.2">
      <c r="A33" s="71"/>
      <c r="B33" s="67"/>
      <c r="C33" s="68"/>
      <c r="D33" s="67"/>
      <c r="E33" s="69"/>
      <c r="F33" s="69"/>
      <c r="G33" s="69"/>
      <c r="H33" s="69"/>
      <c r="I33" s="67"/>
      <c r="J33" s="69"/>
      <c r="K33" s="69"/>
      <c r="L33" s="66"/>
      <c r="M33" s="66"/>
      <c r="N33" s="66"/>
    </row>
    <row r="34" spans="1:14" ht="13.5" hidden="1" thickTop="1" x14ac:dyDescent="0.2">
      <c r="A34" s="58"/>
      <c r="B34" s="108" t="s">
        <v>92</v>
      </c>
      <c r="C34" s="109">
        <f>VLOOKUP($D$6,$B$39:$F$196,2)</f>
        <v>0.88752031396036657</v>
      </c>
      <c r="D34" s="110" t="s">
        <v>93</v>
      </c>
      <c r="E34" s="69"/>
      <c r="F34" s="69"/>
      <c r="G34" s="69"/>
      <c r="H34" s="69"/>
      <c r="I34" s="67"/>
      <c r="J34" s="69"/>
      <c r="K34" s="69"/>
      <c r="L34" s="66"/>
      <c r="M34" s="66"/>
      <c r="N34" s="66"/>
    </row>
    <row r="35" spans="1:14" hidden="1" x14ac:dyDescent="0.2">
      <c r="A35" s="58"/>
      <c r="B35" s="103" t="s">
        <v>94</v>
      </c>
      <c r="C35" s="105">
        <f>VLOOKUP($D$6,$B$39:$F$196,3)</f>
        <v>320</v>
      </c>
      <c r="D35" s="104" t="s">
        <v>72</v>
      </c>
      <c r="E35" s="69"/>
      <c r="F35" s="69"/>
      <c r="G35" s="69"/>
      <c r="H35" s="69"/>
      <c r="I35" s="67"/>
      <c r="J35" s="69"/>
      <c r="K35" s="69"/>
      <c r="L35" s="66"/>
      <c r="M35" s="66"/>
      <c r="N35" s="66"/>
    </row>
    <row r="36" spans="1:14" hidden="1" x14ac:dyDescent="0.2">
      <c r="A36" s="58"/>
      <c r="B36" s="103" t="s">
        <v>95</v>
      </c>
      <c r="C36" s="105">
        <f>VLOOKUP($D$6,$B$39:$F$196,4)</f>
        <v>13</v>
      </c>
      <c r="D36" s="104" t="s">
        <v>70</v>
      </c>
      <c r="E36" s="69"/>
      <c r="F36" s="69"/>
      <c r="G36" s="69"/>
      <c r="H36" s="69"/>
      <c r="I36" s="67"/>
      <c r="J36" s="69"/>
      <c r="K36" s="69"/>
      <c r="L36" s="66"/>
      <c r="M36" s="66"/>
      <c r="N36" s="66"/>
    </row>
    <row r="37" spans="1:14" ht="13.5" hidden="1" thickBot="1" x14ac:dyDescent="0.25">
      <c r="A37" s="58"/>
      <c r="B37" s="106" t="s">
        <v>96</v>
      </c>
      <c r="C37" s="126">
        <f>VLOOKUP($D$6,$B$39:$F$196,5)</f>
        <v>600</v>
      </c>
      <c r="D37" s="107" t="s">
        <v>70</v>
      </c>
      <c r="E37" s="69"/>
      <c r="F37" s="69"/>
      <c r="G37" s="69"/>
      <c r="H37" s="69"/>
      <c r="I37" s="67"/>
      <c r="J37" s="69"/>
      <c r="K37" s="69"/>
      <c r="L37" s="66"/>
      <c r="M37" s="66"/>
      <c r="N37" s="66"/>
    </row>
    <row r="38" spans="1:14" ht="14.25" hidden="1" thickTop="1" thickBot="1" x14ac:dyDescent="0.25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</row>
    <row r="39" spans="1:14" ht="13.5" hidden="1" thickTop="1" x14ac:dyDescent="0.2">
      <c r="A39" s="52"/>
      <c r="B39" s="60" t="s">
        <v>97</v>
      </c>
      <c r="C39" s="62" t="s">
        <v>52</v>
      </c>
      <c r="D39" s="62" t="s">
        <v>72</v>
      </c>
      <c r="E39" s="62" t="s">
        <v>50</v>
      </c>
      <c r="F39" s="102" t="s">
        <v>98</v>
      </c>
      <c r="G39" s="52"/>
      <c r="H39" s="52"/>
      <c r="I39" s="52"/>
      <c r="J39" s="52"/>
      <c r="K39" s="52"/>
      <c r="L39" s="52"/>
      <c r="M39" s="52"/>
      <c r="N39" s="52"/>
    </row>
    <row r="40" spans="1:14" hidden="1" x14ac:dyDescent="0.2">
      <c r="A40" s="52"/>
      <c r="B40" s="61">
        <v>4911210</v>
      </c>
      <c r="C40" s="125">
        <f>D40/1000/(E40/100)^0.5</f>
        <v>0.20788046015507497</v>
      </c>
      <c r="D40" s="73">
        <v>55</v>
      </c>
      <c r="E40" s="73">
        <v>7</v>
      </c>
      <c r="F40" s="54">
        <v>600</v>
      </c>
      <c r="G40" s="52"/>
      <c r="H40" s="52"/>
      <c r="I40" s="52"/>
      <c r="J40" s="52"/>
      <c r="K40" s="52"/>
      <c r="L40" s="52"/>
      <c r="M40" s="52"/>
      <c r="N40" s="52"/>
    </row>
    <row r="41" spans="1:14" hidden="1" x14ac:dyDescent="0.2">
      <c r="A41" s="52"/>
      <c r="B41" s="61">
        <v>4911230</v>
      </c>
      <c r="C41" s="125">
        <f t="shared" ref="C41:C104" si="0">D41/1000/(E41/100)^0.5</f>
        <v>0.2651650429449553</v>
      </c>
      <c r="D41" s="73">
        <v>75</v>
      </c>
      <c r="E41" s="73">
        <v>8</v>
      </c>
      <c r="F41" s="54">
        <v>600</v>
      </c>
      <c r="G41" s="52"/>
      <c r="H41" s="52"/>
      <c r="I41" s="52"/>
      <c r="J41" s="52"/>
      <c r="K41" s="52"/>
      <c r="L41" s="52"/>
      <c r="M41" s="52"/>
      <c r="N41" s="52"/>
    </row>
    <row r="42" spans="1:14" hidden="1" x14ac:dyDescent="0.2">
      <c r="A42" s="52"/>
      <c r="B42" s="61">
        <v>4911260</v>
      </c>
      <c r="C42" s="125">
        <f t="shared" si="0"/>
        <v>0.28000000000000003</v>
      </c>
      <c r="D42" s="73">
        <v>84</v>
      </c>
      <c r="E42" s="73">
        <v>9</v>
      </c>
      <c r="F42" s="54">
        <v>600</v>
      </c>
      <c r="G42" s="52"/>
      <c r="H42" s="52"/>
      <c r="I42" s="52"/>
      <c r="J42" s="52"/>
      <c r="K42" s="52"/>
      <c r="L42" s="52"/>
      <c r="M42" s="52"/>
      <c r="N42" s="52"/>
    </row>
    <row r="43" spans="1:14" hidden="1" x14ac:dyDescent="0.2">
      <c r="A43" s="52"/>
      <c r="B43" s="61">
        <v>4911290</v>
      </c>
      <c r="C43" s="125">
        <f t="shared" si="0"/>
        <v>0.32887687665751142</v>
      </c>
      <c r="D43" s="73">
        <v>104</v>
      </c>
      <c r="E43" s="73">
        <v>10</v>
      </c>
      <c r="F43" s="54">
        <v>600</v>
      </c>
      <c r="G43" s="52"/>
      <c r="H43" s="52"/>
      <c r="I43" s="52"/>
      <c r="J43" s="52"/>
      <c r="K43" s="52"/>
      <c r="L43" s="52"/>
      <c r="M43" s="52"/>
      <c r="N43" s="52"/>
    </row>
    <row r="44" spans="1:14" hidden="1" x14ac:dyDescent="0.2">
      <c r="A44" s="52"/>
      <c r="B44" s="61">
        <v>4911300</v>
      </c>
      <c r="C44" s="125">
        <f t="shared" si="0"/>
        <v>0.36049965325919525</v>
      </c>
      <c r="D44" s="73">
        <v>114</v>
      </c>
      <c r="E44" s="73">
        <v>10</v>
      </c>
      <c r="F44" s="54">
        <v>600</v>
      </c>
      <c r="G44" s="52"/>
      <c r="H44" s="52"/>
      <c r="I44" s="52"/>
      <c r="J44" s="52"/>
      <c r="K44" s="52"/>
      <c r="L44" s="52"/>
      <c r="M44" s="52"/>
      <c r="N44" s="52"/>
    </row>
    <row r="45" spans="1:14" hidden="1" x14ac:dyDescent="0.2">
      <c r="A45" s="52"/>
      <c r="B45" s="61">
        <v>4911320</v>
      </c>
      <c r="C45" s="125">
        <f t="shared" si="0"/>
        <v>0.38894963450531511</v>
      </c>
      <c r="D45" s="73">
        <v>129</v>
      </c>
      <c r="E45" s="73">
        <v>11</v>
      </c>
      <c r="F45" s="54">
        <v>600</v>
      </c>
      <c r="G45" s="52"/>
      <c r="H45" s="52"/>
      <c r="I45" s="52"/>
      <c r="J45" s="52"/>
      <c r="K45" s="52"/>
      <c r="L45" s="52"/>
      <c r="M45" s="52"/>
      <c r="N45" s="52"/>
    </row>
    <row r="46" spans="1:14" hidden="1" x14ac:dyDescent="0.2">
      <c r="A46" s="52"/>
      <c r="B46" s="61">
        <v>4911350</v>
      </c>
      <c r="C46" s="125">
        <f t="shared" si="0"/>
        <v>0.46432747064975599</v>
      </c>
      <c r="D46" s="73">
        <v>154</v>
      </c>
      <c r="E46" s="73">
        <v>11</v>
      </c>
      <c r="F46" s="54">
        <v>600</v>
      </c>
      <c r="G46" s="52"/>
      <c r="H46" s="52"/>
      <c r="I46" s="52"/>
      <c r="J46" s="52"/>
      <c r="K46" s="52"/>
      <c r="L46" s="52"/>
      <c r="M46" s="52"/>
      <c r="N46" s="52"/>
    </row>
    <row r="47" spans="1:14" hidden="1" x14ac:dyDescent="0.2">
      <c r="A47" s="52"/>
      <c r="B47" s="61">
        <v>4911370</v>
      </c>
      <c r="C47" s="125">
        <f t="shared" si="0"/>
        <v>0.50518148554092246</v>
      </c>
      <c r="D47" s="70">
        <v>175</v>
      </c>
      <c r="E47" s="70">
        <v>12</v>
      </c>
      <c r="F47" s="54">
        <v>600</v>
      </c>
      <c r="G47" s="52"/>
      <c r="H47" s="52"/>
      <c r="I47" s="52"/>
      <c r="J47" s="52"/>
      <c r="K47" s="52"/>
      <c r="L47" s="52"/>
      <c r="M47" s="52"/>
      <c r="N47" s="52"/>
    </row>
    <row r="48" spans="1:14" hidden="1" x14ac:dyDescent="0.2">
      <c r="A48" s="52"/>
      <c r="B48" s="61">
        <v>4911400</v>
      </c>
      <c r="C48" s="125">
        <f t="shared" si="0"/>
        <v>0.58889727457341823</v>
      </c>
      <c r="D48" s="72">
        <v>204</v>
      </c>
      <c r="E48" s="70">
        <v>12</v>
      </c>
      <c r="F48" s="54">
        <v>600</v>
      </c>
      <c r="G48" s="52"/>
      <c r="H48" s="52"/>
      <c r="I48" s="52"/>
      <c r="J48" s="52"/>
      <c r="K48" s="52"/>
      <c r="L48" s="52"/>
      <c r="M48" s="52"/>
      <c r="N48" s="52"/>
    </row>
    <row r="49" spans="2:6" hidden="1" x14ac:dyDescent="0.2">
      <c r="B49" s="61">
        <v>4911430</v>
      </c>
      <c r="C49" s="125">
        <f t="shared" si="0"/>
        <v>0.69570707437349899</v>
      </c>
      <c r="D49" s="70">
        <v>241</v>
      </c>
      <c r="E49" s="70">
        <v>12</v>
      </c>
      <c r="F49" s="54">
        <v>600</v>
      </c>
    </row>
    <row r="50" spans="2:6" hidden="1" x14ac:dyDescent="0.2">
      <c r="B50" s="61">
        <v>4911460</v>
      </c>
      <c r="C50" s="125">
        <f t="shared" si="0"/>
        <v>0.80540362551952804</v>
      </c>
      <c r="D50" s="70">
        <v>279</v>
      </c>
      <c r="E50" s="70">
        <v>12</v>
      </c>
      <c r="F50" s="54">
        <v>600</v>
      </c>
    </row>
    <row r="51" spans="2:6" hidden="1" x14ac:dyDescent="0.2">
      <c r="B51" s="61">
        <v>4911490</v>
      </c>
      <c r="C51" s="125">
        <f t="shared" si="0"/>
        <v>0.88752031396036657</v>
      </c>
      <c r="D51" s="70">
        <v>320</v>
      </c>
      <c r="E51" s="70">
        <v>13</v>
      </c>
      <c r="F51" s="54">
        <v>600</v>
      </c>
    </row>
    <row r="52" spans="2:6" hidden="1" x14ac:dyDescent="0.2">
      <c r="B52" s="61">
        <v>4911510</v>
      </c>
      <c r="C52" s="125">
        <f t="shared" si="0"/>
        <v>0.97072534339415084</v>
      </c>
      <c r="D52" s="70">
        <v>350</v>
      </c>
      <c r="E52" s="70">
        <v>13</v>
      </c>
      <c r="F52" s="54">
        <v>600</v>
      </c>
    </row>
    <row r="53" spans="2:6" hidden="1" x14ac:dyDescent="0.2">
      <c r="B53" s="61">
        <v>4911540</v>
      </c>
      <c r="C53" s="125">
        <f t="shared" si="0"/>
        <v>1.1094003924504583</v>
      </c>
      <c r="D53" s="70">
        <v>400</v>
      </c>
      <c r="E53" s="70">
        <v>13</v>
      </c>
      <c r="F53" s="54">
        <v>600</v>
      </c>
    </row>
    <row r="54" spans="2:6" hidden="1" x14ac:dyDescent="0.2">
      <c r="B54" s="61">
        <v>4911570</v>
      </c>
      <c r="C54" s="125">
        <f t="shared" si="0"/>
        <v>1.2748361239222641</v>
      </c>
      <c r="D54" s="70">
        <v>477</v>
      </c>
      <c r="E54" s="70">
        <v>14</v>
      </c>
      <c r="F54" s="54">
        <v>600</v>
      </c>
    </row>
    <row r="55" spans="2:6" hidden="1" x14ac:dyDescent="0.2">
      <c r="B55" s="61">
        <v>4911620</v>
      </c>
      <c r="C55" s="125">
        <f t="shared" si="0"/>
        <v>1.4565737684227129</v>
      </c>
      <c r="D55" s="70">
        <v>545</v>
      </c>
      <c r="E55" s="70">
        <v>14</v>
      </c>
      <c r="F55" s="54">
        <v>600</v>
      </c>
    </row>
    <row r="56" spans="2:6" hidden="1" x14ac:dyDescent="0.2">
      <c r="B56" s="61">
        <v>4911725</v>
      </c>
      <c r="C56" s="125">
        <f t="shared" si="0"/>
        <v>1.6436566377614099</v>
      </c>
      <c r="D56" s="70">
        <v>615</v>
      </c>
      <c r="E56" s="70">
        <v>14</v>
      </c>
      <c r="F56" s="54">
        <v>600</v>
      </c>
    </row>
    <row r="57" spans="2:6" hidden="1" x14ac:dyDescent="0.2">
      <c r="B57" s="61">
        <v>4911730</v>
      </c>
      <c r="C57" s="125">
        <f t="shared" si="0"/>
        <v>1.7906503208132434</v>
      </c>
      <c r="D57" s="70">
        <v>670</v>
      </c>
      <c r="E57" s="70">
        <v>14</v>
      </c>
      <c r="F57" s="54">
        <v>600</v>
      </c>
    </row>
    <row r="58" spans="2:6" hidden="1" x14ac:dyDescent="0.2">
      <c r="B58" s="61">
        <v>4911735</v>
      </c>
      <c r="C58" s="125">
        <f t="shared" si="0"/>
        <v>1.9670427404754434</v>
      </c>
      <c r="D58" s="70">
        <v>736</v>
      </c>
      <c r="E58" s="70">
        <v>14</v>
      </c>
      <c r="F58" s="54">
        <v>600</v>
      </c>
    </row>
    <row r="59" spans="2:6" hidden="1" x14ac:dyDescent="0.2">
      <c r="B59" s="61">
        <v>4911740</v>
      </c>
      <c r="C59" s="125">
        <f t="shared" si="0"/>
        <v>1.9975000000000001</v>
      </c>
      <c r="D59" s="70">
        <v>799</v>
      </c>
      <c r="E59" s="70">
        <v>16</v>
      </c>
      <c r="F59" s="54">
        <v>600</v>
      </c>
    </row>
    <row r="60" spans="2:6" hidden="1" x14ac:dyDescent="0.2">
      <c r="B60" s="61">
        <v>4911745</v>
      </c>
      <c r="C60" s="125">
        <f t="shared" si="0"/>
        <v>1.9959168846738875</v>
      </c>
      <c r="D60" s="70">
        <v>870</v>
      </c>
      <c r="E60" s="70">
        <v>19</v>
      </c>
      <c r="F60" s="54">
        <v>600</v>
      </c>
    </row>
    <row r="61" spans="2:6" hidden="1" x14ac:dyDescent="0.2">
      <c r="B61" s="61">
        <v>4911750</v>
      </c>
      <c r="C61" s="125">
        <f t="shared" si="0"/>
        <v>2.042519452608889</v>
      </c>
      <c r="D61" s="70">
        <v>936</v>
      </c>
      <c r="E61" s="70">
        <v>21</v>
      </c>
      <c r="F61" s="54">
        <v>600</v>
      </c>
    </row>
    <row r="62" spans="2:6" hidden="1" x14ac:dyDescent="0.2">
      <c r="B62" s="61">
        <v>4920700</v>
      </c>
      <c r="C62" s="125">
        <f t="shared" si="0"/>
        <v>2.1746473068272265</v>
      </c>
      <c r="D62" s="70">
        <v>1020</v>
      </c>
      <c r="E62" s="70">
        <v>22</v>
      </c>
      <c r="F62" s="54">
        <v>600</v>
      </c>
    </row>
    <row r="63" spans="2:6" hidden="1" x14ac:dyDescent="0.2">
      <c r="B63" s="61">
        <v>4920740</v>
      </c>
      <c r="C63" s="125">
        <f t="shared" si="0"/>
        <v>2.3046997438041488</v>
      </c>
      <c r="D63" s="70">
        <v>1081</v>
      </c>
      <c r="E63" s="70">
        <v>22</v>
      </c>
      <c r="F63" s="54">
        <v>600</v>
      </c>
    </row>
    <row r="64" spans="2:6" hidden="1" x14ac:dyDescent="0.2">
      <c r="B64" s="61">
        <v>4920770</v>
      </c>
      <c r="C64" s="125">
        <f t="shared" si="0"/>
        <v>2.5477485604495449</v>
      </c>
      <c r="D64" s="70">
        <v>1195</v>
      </c>
      <c r="E64" s="70">
        <v>22</v>
      </c>
      <c r="F64" s="54">
        <v>600</v>
      </c>
    </row>
    <row r="65" spans="2:6" hidden="1" x14ac:dyDescent="0.2">
      <c r="B65" s="61">
        <v>4920820</v>
      </c>
      <c r="C65" s="125">
        <f t="shared" si="0"/>
        <v>2.783667427661948</v>
      </c>
      <c r="D65" s="70">
        <v>1335</v>
      </c>
      <c r="E65" s="70">
        <v>23</v>
      </c>
      <c r="F65" s="54">
        <v>600</v>
      </c>
    </row>
    <row r="66" spans="2:6" hidden="1" x14ac:dyDescent="0.2">
      <c r="B66" s="61">
        <v>4920860</v>
      </c>
      <c r="C66" s="125">
        <f t="shared" si="0"/>
        <v>3.092268760466419</v>
      </c>
      <c r="D66" s="70">
        <v>1483</v>
      </c>
      <c r="E66" s="70">
        <v>23</v>
      </c>
      <c r="F66" s="54">
        <v>600</v>
      </c>
    </row>
    <row r="67" spans="2:6" hidden="1" x14ac:dyDescent="0.2">
      <c r="B67" s="61">
        <v>4920880</v>
      </c>
      <c r="C67" s="125">
        <f t="shared" si="0"/>
        <v>3.296612886242352</v>
      </c>
      <c r="D67" s="70">
        <v>1581</v>
      </c>
      <c r="E67" s="70">
        <v>23</v>
      </c>
      <c r="F67" s="54">
        <v>600</v>
      </c>
    </row>
    <row r="68" spans="2:6" hidden="1" x14ac:dyDescent="0.2">
      <c r="B68" s="61">
        <v>4920920</v>
      </c>
      <c r="C68" s="125">
        <f t="shared" si="0"/>
        <v>3.6211623364144652</v>
      </c>
      <c r="D68" s="70">
        <v>1774</v>
      </c>
      <c r="E68" s="70">
        <v>24</v>
      </c>
      <c r="F68" s="54">
        <v>600</v>
      </c>
    </row>
    <row r="69" spans="2:6" hidden="1" x14ac:dyDescent="0.2">
      <c r="B69" s="61">
        <v>4920940</v>
      </c>
      <c r="C69" s="125">
        <f t="shared" si="0"/>
        <v>3.8436576547172705</v>
      </c>
      <c r="D69" s="70">
        <v>1883</v>
      </c>
      <c r="E69" s="70">
        <v>24</v>
      </c>
      <c r="F69" s="54">
        <v>600</v>
      </c>
    </row>
    <row r="70" spans="2:6" hidden="1" x14ac:dyDescent="0.2">
      <c r="B70" s="61">
        <v>4920990</v>
      </c>
      <c r="C70" s="125">
        <f t="shared" si="0"/>
        <v>4.16</v>
      </c>
      <c r="D70" s="70">
        <v>2080</v>
      </c>
      <c r="E70" s="70">
        <v>25</v>
      </c>
      <c r="F70" s="54">
        <v>600</v>
      </c>
    </row>
    <row r="71" spans="2:6" hidden="1" x14ac:dyDescent="0.2">
      <c r="B71" s="61">
        <v>4921030</v>
      </c>
      <c r="C71" s="125">
        <f t="shared" si="0"/>
        <v>4.4145742019605221</v>
      </c>
      <c r="D71" s="70">
        <v>2251</v>
      </c>
      <c r="E71" s="70">
        <v>26</v>
      </c>
      <c r="F71" s="54">
        <v>600</v>
      </c>
    </row>
    <row r="72" spans="2:6" hidden="1" x14ac:dyDescent="0.2">
      <c r="B72" s="61">
        <v>4921060</v>
      </c>
      <c r="C72" s="125">
        <f t="shared" si="0"/>
        <v>4.4629175808358061</v>
      </c>
      <c r="D72" s="70">
        <v>2319</v>
      </c>
      <c r="E72" s="70">
        <v>27</v>
      </c>
      <c r="F72" s="54">
        <v>600</v>
      </c>
    </row>
    <row r="73" spans="2:6" hidden="1" x14ac:dyDescent="0.2">
      <c r="B73" s="61">
        <v>4921090</v>
      </c>
      <c r="C73" s="125">
        <f t="shared" si="0"/>
        <v>4.6262851496329409</v>
      </c>
      <c r="D73" s="70">
        <v>2448</v>
      </c>
      <c r="E73" s="70">
        <v>28</v>
      </c>
      <c r="F73" s="54">
        <v>600</v>
      </c>
    </row>
    <row r="74" spans="2:6" hidden="1" x14ac:dyDescent="0.2">
      <c r="B74" s="99">
        <v>4933073</v>
      </c>
      <c r="C74" s="125">
        <f t="shared" si="0"/>
        <v>1.9456704071690389</v>
      </c>
      <c r="D74" s="59">
        <v>674</v>
      </c>
      <c r="E74" s="59">
        <v>12</v>
      </c>
      <c r="F74" s="54">
        <v>600</v>
      </c>
    </row>
    <row r="75" spans="2:6" hidden="1" x14ac:dyDescent="0.2">
      <c r="B75" s="99">
        <v>4933082</v>
      </c>
      <c r="C75" s="125">
        <f t="shared" si="0"/>
        <v>2.4854929088613389</v>
      </c>
      <c r="D75" s="59">
        <v>861</v>
      </c>
      <c r="E75" s="59">
        <v>12</v>
      </c>
      <c r="F75" s="54">
        <v>600</v>
      </c>
    </row>
    <row r="76" spans="2:6" hidden="1" x14ac:dyDescent="0.2">
      <c r="B76" s="99">
        <v>4933089</v>
      </c>
      <c r="C76" s="125">
        <f t="shared" si="0"/>
        <v>2.9444863728670914</v>
      </c>
      <c r="D76" s="59">
        <v>1020</v>
      </c>
      <c r="E76" s="59">
        <v>12</v>
      </c>
      <c r="F76" s="54">
        <v>600</v>
      </c>
    </row>
    <row r="77" spans="2:6" hidden="1" x14ac:dyDescent="0.2">
      <c r="B77" s="99">
        <v>4933094</v>
      </c>
      <c r="C77" s="125">
        <f t="shared" si="0"/>
        <v>3.279349528997074</v>
      </c>
      <c r="D77" s="59">
        <v>1136</v>
      </c>
      <c r="E77" s="59">
        <v>12</v>
      </c>
      <c r="F77" s="54">
        <v>600</v>
      </c>
    </row>
    <row r="78" spans="2:6" hidden="1" x14ac:dyDescent="0.2">
      <c r="B78" s="99">
        <v>4933096</v>
      </c>
      <c r="C78" s="125">
        <f t="shared" si="0"/>
        <v>3.4352341016782733</v>
      </c>
      <c r="D78" s="59">
        <v>1190</v>
      </c>
      <c r="E78" s="59">
        <v>12</v>
      </c>
      <c r="F78" s="54">
        <v>600</v>
      </c>
    </row>
    <row r="79" spans="2:6" hidden="1" x14ac:dyDescent="0.2">
      <c r="B79" s="99">
        <v>4933098</v>
      </c>
      <c r="C79" s="125">
        <f t="shared" si="0"/>
        <v>3.527893247992457</v>
      </c>
      <c r="D79" s="59">
        <v>1272</v>
      </c>
      <c r="E79" s="59">
        <v>13</v>
      </c>
      <c r="F79" s="54">
        <v>600</v>
      </c>
    </row>
    <row r="80" spans="2:6" hidden="1" x14ac:dyDescent="0.2">
      <c r="B80" s="99">
        <v>4933102</v>
      </c>
      <c r="C80" s="125">
        <f t="shared" si="0"/>
        <v>3.74145282353917</v>
      </c>
      <c r="D80" s="59">
        <v>1349</v>
      </c>
      <c r="E80" s="59">
        <v>13</v>
      </c>
      <c r="F80" s="54">
        <v>600</v>
      </c>
    </row>
    <row r="81" spans="1:14" hidden="1" x14ac:dyDescent="0.2">
      <c r="A81" s="52"/>
      <c r="B81" s="99">
        <v>4933107</v>
      </c>
      <c r="C81" s="125">
        <f t="shared" si="0"/>
        <v>4.1186489569723266</v>
      </c>
      <c r="D81" s="59">
        <v>1485</v>
      </c>
      <c r="E81" s="59">
        <v>13</v>
      </c>
      <c r="F81" s="54">
        <v>600</v>
      </c>
      <c r="G81" s="52"/>
      <c r="H81" s="52"/>
      <c r="I81" s="52"/>
      <c r="J81" s="52"/>
      <c r="K81" s="52"/>
      <c r="L81" s="52"/>
      <c r="M81" s="52"/>
      <c r="N81" s="52"/>
    </row>
    <row r="82" spans="1:14" hidden="1" x14ac:dyDescent="0.2">
      <c r="A82" s="52"/>
      <c r="B82" s="99">
        <v>4933111</v>
      </c>
      <c r="C82" s="125">
        <f t="shared" si="0"/>
        <v>4.1879836607676895</v>
      </c>
      <c r="D82" s="59">
        <v>1567</v>
      </c>
      <c r="E82" s="59">
        <v>14</v>
      </c>
      <c r="F82" s="54">
        <v>600</v>
      </c>
      <c r="G82" s="52"/>
      <c r="H82" s="52"/>
      <c r="I82" s="52"/>
      <c r="J82" s="52"/>
      <c r="K82" s="52"/>
      <c r="L82" s="52"/>
      <c r="M82" s="52"/>
      <c r="N82" s="52"/>
    </row>
    <row r="83" spans="1:14" hidden="1" x14ac:dyDescent="0.2">
      <c r="A83" s="52"/>
      <c r="B83" s="99">
        <v>4933112</v>
      </c>
      <c r="C83" s="125">
        <f t="shared" si="0"/>
        <v>4.3590308555916417</v>
      </c>
      <c r="D83" s="59">
        <v>1631</v>
      </c>
      <c r="E83" s="59">
        <v>14</v>
      </c>
      <c r="F83" s="54">
        <v>600</v>
      </c>
      <c r="G83" s="52"/>
      <c r="H83" s="52"/>
      <c r="I83" s="52"/>
      <c r="J83" s="52"/>
      <c r="K83" s="52"/>
      <c r="L83" s="52"/>
      <c r="M83" s="52"/>
      <c r="N83" s="52"/>
    </row>
    <row r="84" spans="1:14" hidden="1" x14ac:dyDescent="0.2">
      <c r="A84" s="52"/>
      <c r="B84" s="99">
        <v>4933118</v>
      </c>
      <c r="C84" s="125">
        <f t="shared" si="0"/>
        <v>4.8507915407105022</v>
      </c>
      <c r="D84" s="59">
        <v>1815</v>
      </c>
      <c r="E84" s="59">
        <v>14</v>
      </c>
      <c r="F84" s="54">
        <v>600</v>
      </c>
      <c r="G84" s="52"/>
      <c r="H84" s="52"/>
      <c r="I84" s="52"/>
      <c r="J84" s="52"/>
      <c r="K84" s="52"/>
      <c r="L84" s="52"/>
      <c r="M84" s="52"/>
      <c r="N84" s="52"/>
    </row>
    <row r="85" spans="1:14" hidden="1" x14ac:dyDescent="0.2">
      <c r="A85" s="53"/>
      <c r="B85" s="99">
        <v>4933124</v>
      </c>
      <c r="C85" s="125">
        <f t="shared" si="0"/>
        <v>5.166559783840694</v>
      </c>
      <c r="D85" s="59">
        <v>2001</v>
      </c>
      <c r="E85" s="59">
        <v>15</v>
      </c>
      <c r="F85" s="54">
        <v>600</v>
      </c>
      <c r="G85" s="53"/>
      <c r="H85" s="53"/>
      <c r="I85" s="52"/>
      <c r="J85" s="52"/>
      <c r="K85" s="52"/>
      <c r="L85" s="52"/>
      <c r="M85" s="53"/>
      <c r="N85" s="53"/>
    </row>
    <row r="86" spans="1:14" hidden="1" x14ac:dyDescent="0.2">
      <c r="A86" s="53"/>
      <c r="B86" s="99">
        <v>4933125</v>
      </c>
      <c r="C86" s="125">
        <f t="shared" si="0"/>
        <v>5.1099999999999994</v>
      </c>
      <c r="D86" s="59">
        <v>2044</v>
      </c>
      <c r="E86" s="59">
        <v>16</v>
      </c>
      <c r="F86" s="54">
        <v>600</v>
      </c>
      <c r="G86" s="53"/>
      <c r="H86" s="53"/>
      <c r="I86" s="52"/>
      <c r="J86" s="52"/>
      <c r="K86" s="52"/>
      <c r="L86" s="52"/>
      <c r="M86" s="53"/>
      <c r="N86" s="53"/>
    </row>
    <row r="87" spans="1:14" hidden="1" x14ac:dyDescent="0.2">
      <c r="A87" s="53"/>
      <c r="B87" s="99">
        <v>4933129</v>
      </c>
      <c r="C87" s="125">
        <f t="shared" si="0"/>
        <v>5.4274999999999993</v>
      </c>
      <c r="D87" s="59">
        <v>2171</v>
      </c>
      <c r="E87" s="59">
        <v>16</v>
      </c>
      <c r="F87" s="54">
        <v>600</v>
      </c>
      <c r="G87" s="53"/>
      <c r="H87" s="53"/>
      <c r="I87" s="52"/>
      <c r="J87" s="52"/>
      <c r="K87" s="52"/>
      <c r="L87" s="52"/>
      <c r="M87" s="53"/>
      <c r="N87" s="53"/>
    </row>
    <row r="88" spans="1:14" hidden="1" x14ac:dyDescent="0.2">
      <c r="A88" s="53"/>
      <c r="B88" s="99">
        <v>4933132</v>
      </c>
      <c r="C88" s="125">
        <f t="shared" si="0"/>
        <v>5.5079840445751218</v>
      </c>
      <c r="D88" s="59">
        <v>2271</v>
      </c>
      <c r="E88" s="59">
        <v>17</v>
      </c>
      <c r="F88" s="54">
        <v>600</v>
      </c>
      <c r="G88" s="53"/>
      <c r="H88" s="53"/>
      <c r="I88" s="52"/>
      <c r="J88" s="52"/>
      <c r="K88" s="52"/>
      <c r="L88" s="52"/>
      <c r="M88" s="53"/>
      <c r="N88" s="53"/>
    </row>
    <row r="89" spans="1:14" hidden="1" x14ac:dyDescent="0.2">
      <c r="A89" s="53"/>
      <c r="B89" s="99">
        <v>4933135</v>
      </c>
      <c r="C89" s="125">
        <f t="shared" si="0"/>
        <v>5.7723478758647246</v>
      </c>
      <c r="D89" s="59">
        <v>2380</v>
      </c>
      <c r="E89" s="59">
        <v>17</v>
      </c>
      <c r="F89" s="54">
        <v>600</v>
      </c>
      <c r="G89" s="53"/>
      <c r="H89" s="53"/>
      <c r="I89" s="52"/>
      <c r="J89" s="52"/>
      <c r="K89" s="52"/>
      <c r="L89" s="52"/>
      <c r="M89" s="53"/>
      <c r="N89" s="53"/>
    </row>
    <row r="90" spans="1:14" hidden="1" x14ac:dyDescent="0.2">
      <c r="A90" s="53"/>
      <c r="B90" s="99">
        <v>4933138</v>
      </c>
      <c r="C90" s="125">
        <f t="shared" si="0"/>
        <v>5.8878424646799861</v>
      </c>
      <c r="D90" s="59">
        <v>2498</v>
      </c>
      <c r="E90" s="59">
        <v>18</v>
      </c>
      <c r="F90" s="54">
        <v>600</v>
      </c>
      <c r="G90" s="53"/>
      <c r="H90" s="53"/>
      <c r="I90" s="52"/>
      <c r="J90" s="52"/>
      <c r="K90" s="52"/>
      <c r="L90" s="52"/>
      <c r="M90" s="53"/>
      <c r="N90" s="53"/>
    </row>
    <row r="91" spans="1:14" hidden="1" x14ac:dyDescent="0.2">
      <c r="A91" s="53"/>
      <c r="B91" s="99">
        <v>4933142</v>
      </c>
      <c r="C91" s="125">
        <f t="shared" si="0"/>
        <v>6.2201826518376624</v>
      </c>
      <c r="D91" s="59">
        <v>2639</v>
      </c>
      <c r="E91" s="59">
        <v>18</v>
      </c>
      <c r="F91" s="54">
        <v>600</v>
      </c>
      <c r="G91" s="53"/>
      <c r="H91" s="53"/>
      <c r="I91" s="52"/>
      <c r="J91" s="52"/>
      <c r="K91" s="52"/>
      <c r="L91" s="52"/>
      <c r="M91" s="53"/>
      <c r="N91" s="53"/>
    </row>
    <row r="92" spans="1:14" hidden="1" x14ac:dyDescent="0.2">
      <c r="A92" s="65"/>
      <c r="B92" s="99">
        <v>4933148</v>
      </c>
      <c r="C92" s="125">
        <f t="shared" si="0"/>
        <v>6.5865257194238289</v>
      </c>
      <c r="D92" s="59">
        <v>2871</v>
      </c>
      <c r="E92" s="59">
        <v>19</v>
      </c>
      <c r="F92" s="54">
        <v>600</v>
      </c>
      <c r="G92" s="65"/>
      <c r="H92" s="65"/>
      <c r="I92" s="52"/>
      <c r="J92" s="52"/>
      <c r="K92" s="52"/>
      <c r="L92" s="52"/>
      <c r="M92" s="53"/>
      <c r="N92" s="53"/>
    </row>
    <row r="93" spans="1:14" hidden="1" x14ac:dyDescent="0.2">
      <c r="A93" s="65"/>
      <c r="B93" s="99">
        <v>4933156</v>
      </c>
      <c r="C93" s="125">
        <f t="shared" si="0"/>
        <v>6.963332877430517</v>
      </c>
      <c r="D93" s="59">
        <v>3191</v>
      </c>
      <c r="E93" s="59">
        <v>21</v>
      </c>
      <c r="F93" s="54">
        <v>600</v>
      </c>
      <c r="G93" s="65"/>
      <c r="H93" s="65"/>
      <c r="I93" s="52"/>
      <c r="J93" s="52"/>
      <c r="K93" s="52"/>
      <c r="L93" s="52"/>
      <c r="M93" s="53"/>
      <c r="N93" s="53"/>
    </row>
    <row r="94" spans="1:14" hidden="1" x14ac:dyDescent="0.2">
      <c r="A94" s="65"/>
      <c r="B94" s="99">
        <v>4933161</v>
      </c>
      <c r="C94" s="125">
        <f t="shared" si="0"/>
        <v>7.2637484062356474</v>
      </c>
      <c r="D94" s="59">
        <v>3407</v>
      </c>
      <c r="E94" s="59">
        <v>22</v>
      </c>
      <c r="F94" s="54">
        <v>600</v>
      </c>
      <c r="G94" s="65"/>
      <c r="H94" s="65"/>
      <c r="I94" s="52"/>
      <c r="J94" s="52"/>
      <c r="K94" s="52"/>
      <c r="L94" s="52"/>
      <c r="M94" s="53"/>
      <c r="N94" s="53"/>
    </row>
    <row r="95" spans="1:14" hidden="1" x14ac:dyDescent="0.2">
      <c r="A95" s="53"/>
      <c r="B95" s="99">
        <v>4933163</v>
      </c>
      <c r="C95" s="125">
        <f t="shared" si="0"/>
        <v>7.4321769721565802</v>
      </c>
      <c r="D95" s="59">
        <v>3486</v>
      </c>
      <c r="E95" s="59">
        <v>22</v>
      </c>
      <c r="F95" s="54">
        <v>600</v>
      </c>
      <c r="G95" s="65"/>
      <c r="H95" s="65"/>
      <c r="I95" s="52"/>
      <c r="J95" s="52"/>
      <c r="K95" s="52"/>
      <c r="L95" s="52"/>
      <c r="M95" s="53"/>
      <c r="N95" s="53"/>
    </row>
    <row r="96" spans="1:14" hidden="1" x14ac:dyDescent="0.2">
      <c r="A96" s="53"/>
      <c r="B96" s="99">
        <v>4944148</v>
      </c>
      <c r="C96" s="125">
        <f t="shared" si="0"/>
        <v>8.1258710302342365</v>
      </c>
      <c r="D96" s="59">
        <v>3634</v>
      </c>
      <c r="E96" s="59">
        <v>20</v>
      </c>
      <c r="F96" s="54">
        <v>600</v>
      </c>
      <c r="G96" s="53"/>
      <c r="H96" s="53"/>
      <c r="I96" s="52"/>
      <c r="J96" s="52"/>
      <c r="K96" s="52"/>
      <c r="L96" s="52"/>
      <c r="M96" s="53"/>
      <c r="N96" s="53"/>
    </row>
    <row r="97" spans="1:14" hidden="1" x14ac:dyDescent="0.2">
      <c r="A97" s="53"/>
      <c r="B97" s="99">
        <v>4944152</v>
      </c>
      <c r="C97" s="125">
        <f t="shared" si="0"/>
        <v>8.0326005395868805</v>
      </c>
      <c r="D97" s="59">
        <v>3681</v>
      </c>
      <c r="E97" s="59">
        <v>21</v>
      </c>
      <c r="F97" s="54">
        <v>600</v>
      </c>
      <c r="G97" s="53"/>
      <c r="H97" s="53"/>
      <c r="I97" s="52"/>
      <c r="J97" s="52"/>
      <c r="K97" s="52"/>
      <c r="L97" s="52"/>
      <c r="M97" s="53"/>
      <c r="N97" s="53"/>
    </row>
    <row r="98" spans="1:14" hidden="1" x14ac:dyDescent="0.2">
      <c r="A98" s="53"/>
      <c r="B98" s="99">
        <v>4944156</v>
      </c>
      <c r="C98" s="125">
        <f t="shared" si="0"/>
        <v>8.9207473528473695</v>
      </c>
      <c r="D98" s="59">
        <v>4088</v>
      </c>
      <c r="E98" s="59">
        <v>21</v>
      </c>
      <c r="F98" s="54">
        <v>600</v>
      </c>
      <c r="G98" s="53"/>
      <c r="H98" s="53"/>
      <c r="I98" s="52"/>
      <c r="J98" s="52"/>
      <c r="K98" s="52"/>
      <c r="L98" s="52"/>
      <c r="M98" s="53"/>
      <c r="N98" s="53"/>
    </row>
    <row r="99" spans="1:14" hidden="1" x14ac:dyDescent="0.2">
      <c r="A99" s="53"/>
      <c r="B99" s="99">
        <v>4944164</v>
      </c>
      <c r="C99" s="125">
        <f t="shared" si="0"/>
        <v>9.4161019636830723</v>
      </c>
      <c r="D99" s="59">
        <v>4315</v>
      </c>
      <c r="E99" s="59">
        <v>21</v>
      </c>
      <c r="F99" s="54">
        <v>600</v>
      </c>
      <c r="G99" s="53"/>
      <c r="H99" s="53"/>
      <c r="I99" s="52"/>
      <c r="J99" s="52"/>
      <c r="K99" s="52"/>
      <c r="L99" s="52"/>
      <c r="M99" s="53"/>
      <c r="N99" s="53"/>
    </row>
    <row r="100" spans="1:14" hidden="1" x14ac:dyDescent="0.2">
      <c r="A100" s="53"/>
      <c r="B100" s="99">
        <v>4944168</v>
      </c>
      <c r="C100" s="125">
        <f t="shared" si="0"/>
        <v>9.6835765368718256</v>
      </c>
      <c r="D100" s="59">
        <v>4542</v>
      </c>
      <c r="E100" s="59">
        <v>22</v>
      </c>
      <c r="F100" s="54">
        <v>600</v>
      </c>
      <c r="G100" s="53"/>
      <c r="H100" s="53"/>
      <c r="I100" s="52"/>
      <c r="J100" s="52"/>
      <c r="K100" s="52"/>
      <c r="L100" s="52"/>
      <c r="M100" s="64"/>
      <c r="N100" s="53"/>
    </row>
    <row r="101" spans="1:14" hidden="1" x14ac:dyDescent="0.2">
      <c r="A101" s="53"/>
      <c r="B101" s="99">
        <v>4944173</v>
      </c>
      <c r="C101" s="125">
        <f t="shared" si="0"/>
        <v>10.167542162999062</v>
      </c>
      <c r="D101" s="59">
        <v>4769</v>
      </c>
      <c r="E101" s="59">
        <v>22</v>
      </c>
      <c r="F101" s="54">
        <v>600</v>
      </c>
      <c r="G101" s="53"/>
      <c r="H101" s="53"/>
      <c r="I101" s="52"/>
      <c r="J101" s="52"/>
      <c r="K101" s="52"/>
      <c r="L101" s="52"/>
      <c r="M101" s="53"/>
      <c r="N101" s="53"/>
    </row>
    <row r="102" spans="1:14" hidden="1" x14ac:dyDescent="0.2">
      <c r="A102" s="53"/>
      <c r="B102" s="99">
        <v>4944176</v>
      </c>
      <c r="C102" s="125">
        <f t="shared" si="0"/>
        <v>10.417380126291455</v>
      </c>
      <c r="D102" s="59">
        <v>4996</v>
      </c>
      <c r="E102" s="59">
        <v>23</v>
      </c>
      <c r="F102" s="54">
        <v>600</v>
      </c>
      <c r="G102" s="53"/>
      <c r="H102" s="53"/>
      <c r="I102" s="52"/>
      <c r="J102" s="52"/>
      <c r="K102" s="52"/>
      <c r="L102" s="52"/>
      <c r="M102" s="53"/>
      <c r="N102" s="53"/>
    </row>
    <row r="103" spans="1:14" hidden="1" x14ac:dyDescent="0.2">
      <c r="A103" s="53"/>
      <c r="B103" s="99">
        <v>4944182</v>
      </c>
      <c r="C103" s="125">
        <f t="shared" si="0"/>
        <v>11.124765915140268</v>
      </c>
      <c r="D103" s="59">
        <v>5450</v>
      </c>
      <c r="E103" s="59">
        <v>24</v>
      </c>
      <c r="F103" s="54">
        <v>600</v>
      </c>
      <c r="G103" s="53"/>
      <c r="H103" s="53"/>
      <c r="I103" s="52"/>
      <c r="J103" s="52"/>
      <c r="K103" s="52"/>
      <c r="L103" s="52"/>
      <c r="M103" s="53"/>
      <c r="N103" s="53"/>
    </row>
    <row r="104" spans="1:14" hidden="1" x14ac:dyDescent="0.2">
      <c r="A104" s="53"/>
      <c r="B104" s="99">
        <v>4944191</v>
      </c>
      <c r="C104" s="125">
        <f t="shared" si="0"/>
        <v>11.81</v>
      </c>
      <c r="D104" s="59">
        <v>5905</v>
      </c>
      <c r="E104" s="59">
        <v>25</v>
      </c>
      <c r="F104" s="54">
        <v>600</v>
      </c>
      <c r="G104" s="53"/>
      <c r="H104" s="53"/>
      <c r="I104" s="52"/>
      <c r="J104" s="52"/>
      <c r="K104" s="52"/>
      <c r="L104" s="52"/>
      <c r="M104" s="53"/>
      <c r="N104" s="53"/>
    </row>
    <row r="105" spans="1:14" hidden="1" x14ac:dyDescent="0.2">
      <c r="A105" s="53"/>
      <c r="B105" s="99">
        <v>4944194</v>
      </c>
      <c r="C105" s="125">
        <f t="shared" ref="C105:C168" si="1">D105/1000/(E105/100)^0.5</f>
        <v>12.824034076685852</v>
      </c>
      <c r="D105" s="59">
        <v>6539</v>
      </c>
      <c r="E105" s="59">
        <v>26</v>
      </c>
      <c r="F105" s="54">
        <v>600</v>
      </c>
      <c r="G105" s="53"/>
      <c r="H105" s="53"/>
      <c r="I105" s="52"/>
      <c r="J105" s="52"/>
      <c r="K105" s="52"/>
      <c r="L105" s="52"/>
      <c r="M105" s="53"/>
      <c r="N105" s="53"/>
    </row>
    <row r="106" spans="1:14" hidden="1" x14ac:dyDescent="0.2">
      <c r="A106" s="53"/>
      <c r="B106" s="99">
        <v>4944200</v>
      </c>
      <c r="C106" s="125">
        <f t="shared" si="1"/>
        <v>13.146265629447777</v>
      </c>
      <c r="D106" s="59">
        <v>6831</v>
      </c>
      <c r="E106" s="59">
        <v>27</v>
      </c>
      <c r="F106" s="54">
        <v>600</v>
      </c>
      <c r="G106" s="53"/>
      <c r="H106" s="53"/>
      <c r="I106" s="52"/>
      <c r="J106" s="52"/>
      <c r="K106" s="52"/>
      <c r="L106" s="52"/>
      <c r="M106" s="53"/>
      <c r="N106" s="53"/>
    </row>
    <row r="107" spans="1:14" hidden="1" x14ac:dyDescent="0.2">
      <c r="A107" s="53"/>
      <c r="B107" s="99">
        <v>4944205</v>
      </c>
      <c r="C107" s="125">
        <f t="shared" si="1"/>
        <v>13.733339126790272</v>
      </c>
      <c r="D107" s="59">
        <v>7267</v>
      </c>
      <c r="E107" s="59">
        <v>28</v>
      </c>
      <c r="F107" s="54">
        <v>600</v>
      </c>
      <c r="G107" s="53"/>
      <c r="H107" s="53"/>
      <c r="I107" s="52"/>
      <c r="J107" s="52"/>
      <c r="K107" s="52"/>
      <c r="L107" s="52"/>
      <c r="M107" s="53"/>
      <c r="N107" s="53"/>
    </row>
    <row r="108" spans="1:14" hidden="1" x14ac:dyDescent="0.2">
      <c r="A108" s="53"/>
      <c r="B108" s="99">
        <v>4944211</v>
      </c>
      <c r="C108" s="125">
        <f t="shared" si="1"/>
        <v>14.096552888324627</v>
      </c>
      <c r="D108" s="59">
        <v>7721</v>
      </c>
      <c r="E108" s="59">
        <v>30</v>
      </c>
      <c r="F108" s="54">
        <v>600</v>
      </c>
      <c r="G108" s="53"/>
      <c r="H108" s="53"/>
      <c r="I108" s="52"/>
      <c r="J108" s="52"/>
      <c r="K108" s="52"/>
      <c r="L108" s="52"/>
      <c r="M108" s="53"/>
      <c r="N108" s="53"/>
    </row>
    <row r="109" spans="1:14" hidden="1" x14ac:dyDescent="0.2">
      <c r="A109" s="53"/>
      <c r="B109" s="99">
        <v>4944217</v>
      </c>
      <c r="C109" s="125">
        <f t="shared" si="1"/>
        <v>14.684529493709116</v>
      </c>
      <c r="D109" s="59">
        <v>8176</v>
      </c>
      <c r="E109" s="59">
        <v>31</v>
      </c>
      <c r="F109" s="54">
        <v>600</v>
      </c>
      <c r="G109" s="53"/>
      <c r="H109" s="53"/>
      <c r="I109" s="52"/>
      <c r="J109" s="52"/>
      <c r="K109" s="52"/>
      <c r="L109" s="52"/>
      <c r="M109" s="53"/>
      <c r="N109" s="53"/>
    </row>
    <row r="110" spans="1:14" hidden="1" x14ac:dyDescent="0.2">
      <c r="A110" s="53"/>
      <c r="B110" s="99">
        <v>4944222</v>
      </c>
      <c r="C110" s="125">
        <f t="shared" si="1"/>
        <v>15.022901708976725</v>
      </c>
      <c r="D110" s="59">
        <v>8630</v>
      </c>
      <c r="E110" s="59">
        <v>33</v>
      </c>
      <c r="F110" s="54">
        <v>600</v>
      </c>
      <c r="G110" s="53"/>
      <c r="H110" s="53"/>
      <c r="I110" s="52"/>
      <c r="J110" s="52"/>
      <c r="K110" s="52"/>
      <c r="L110" s="52"/>
      <c r="M110" s="53"/>
      <c r="N110" s="53"/>
    </row>
    <row r="111" spans="1:14" hidden="1" x14ac:dyDescent="0.2">
      <c r="A111" s="53"/>
      <c r="B111" s="99">
        <v>4944229</v>
      </c>
      <c r="C111" s="125">
        <f t="shared" si="1"/>
        <v>15.578931474345501</v>
      </c>
      <c r="D111" s="59">
        <v>9084</v>
      </c>
      <c r="E111" s="59">
        <v>34</v>
      </c>
      <c r="F111" s="54">
        <v>600</v>
      </c>
      <c r="G111" s="53"/>
      <c r="H111" s="53"/>
      <c r="I111" s="52"/>
      <c r="J111" s="52"/>
      <c r="K111" s="52"/>
      <c r="L111" s="52"/>
      <c r="M111" s="53"/>
      <c r="N111" s="53"/>
    </row>
    <row r="112" spans="1:14" hidden="1" x14ac:dyDescent="0.2">
      <c r="A112" s="53"/>
      <c r="B112" s="99">
        <v>4944235</v>
      </c>
      <c r="C112" s="125">
        <f t="shared" si="1"/>
        <v>15.896666666666668</v>
      </c>
      <c r="D112" s="59">
        <v>9538</v>
      </c>
      <c r="E112" s="59">
        <v>36</v>
      </c>
      <c r="F112" s="54">
        <v>600</v>
      </c>
      <c r="G112" s="53"/>
      <c r="H112" s="53"/>
      <c r="I112" s="52"/>
      <c r="J112" s="52"/>
      <c r="K112" s="52"/>
      <c r="L112" s="52"/>
      <c r="M112" s="53"/>
      <c r="N112" s="53"/>
    </row>
    <row r="113" spans="1:14" hidden="1" x14ac:dyDescent="0.2">
      <c r="A113" s="53"/>
      <c r="B113" s="99">
        <v>4944241</v>
      </c>
      <c r="C113" s="125">
        <f t="shared" si="1"/>
        <v>16.205919970963176</v>
      </c>
      <c r="D113" s="59">
        <v>9990</v>
      </c>
      <c r="E113" s="59">
        <v>38</v>
      </c>
      <c r="F113" s="54">
        <v>600</v>
      </c>
      <c r="G113" s="53"/>
      <c r="H113" s="53"/>
      <c r="I113" s="52"/>
      <c r="J113" s="52"/>
      <c r="K113" s="52"/>
      <c r="L113" s="52"/>
      <c r="M113" s="53"/>
      <c r="N113" s="53"/>
    </row>
    <row r="114" spans="1:14" hidden="1" x14ac:dyDescent="0.2">
      <c r="A114" s="53"/>
      <c r="B114" s="99">
        <v>4944248</v>
      </c>
      <c r="C114" s="125">
        <f t="shared" si="1"/>
        <v>16.514995080229362</v>
      </c>
      <c r="D114" s="59">
        <v>10445</v>
      </c>
      <c r="E114" s="59">
        <v>40</v>
      </c>
      <c r="F114" s="54">
        <v>600</v>
      </c>
      <c r="G114" s="53"/>
      <c r="H114" s="53"/>
      <c r="I114" s="52"/>
      <c r="J114" s="52"/>
      <c r="K114" s="52"/>
      <c r="L114" s="52"/>
      <c r="M114" s="53"/>
      <c r="N114" s="53"/>
    </row>
    <row r="115" spans="1:14" hidden="1" x14ac:dyDescent="0.2">
      <c r="A115" s="52"/>
      <c r="B115" s="99">
        <v>4944250</v>
      </c>
      <c r="C115" s="125">
        <f t="shared" si="1"/>
        <v>16.81906514586802</v>
      </c>
      <c r="D115" s="59">
        <v>10900</v>
      </c>
      <c r="E115" s="59">
        <v>42</v>
      </c>
      <c r="F115" s="54">
        <v>600</v>
      </c>
      <c r="G115" s="52"/>
      <c r="H115" s="52"/>
      <c r="I115" s="52"/>
      <c r="J115" s="52"/>
      <c r="K115" s="52"/>
      <c r="L115" s="52"/>
      <c r="M115" s="52"/>
      <c r="N115" s="52"/>
    </row>
    <row r="116" spans="1:14" hidden="1" x14ac:dyDescent="0.2">
      <c r="A116" s="52"/>
      <c r="B116" s="99">
        <v>4944262</v>
      </c>
      <c r="C116" s="125">
        <f t="shared" si="1"/>
        <v>17.118306588402532</v>
      </c>
      <c r="D116" s="59">
        <v>11355</v>
      </c>
      <c r="E116" s="59">
        <v>44</v>
      </c>
      <c r="F116" s="54">
        <v>600</v>
      </c>
      <c r="G116" s="52"/>
      <c r="H116" s="52"/>
      <c r="I116" s="52"/>
      <c r="J116" s="52"/>
      <c r="K116" s="52"/>
      <c r="L116" s="52"/>
      <c r="M116" s="52"/>
      <c r="N116" s="52"/>
    </row>
    <row r="117" spans="1:14" hidden="1" x14ac:dyDescent="0.2">
      <c r="A117" s="52"/>
      <c r="B117" s="61">
        <v>5011150</v>
      </c>
      <c r="C117" s="125">
        <f t="shared" si="1"/>
        <v>9.4491118252306799E-2</v>
      </c>
      <c r="D117" s="73">
        <v>25</v>
      </c>
      <c r="E117" s="73">
        <v>7</v>
      </c>
      <c r="F117" s="54">
        <v>350</v>
      </c>
      <c r="G117" s="52"/>
      <c r="H117" s="52"/>
      <c r="I117" s="52"/>
      <c r="J117" s="52"/>
      <c r="K117" s="52"/>
      <c r="L117" s="52"/>
      <c r="M117" s="52"/>
      <c r="N117" s="52"/>
    </row>
    <row r="118" spans="1:14" hidden="1" x14ac:dyDescent="0.2">
      <c r="A118" s="52"/>
      <c r="B118" s="61">
        <v>5011170</v>
      </c>
      <c r="C118" s="125">
        <f t="shared" si="1"/>
        <v>0.13606721028332178</v>
      </c>
      <c r="D118" s="73">
        <v>36</v>
      </c>
      <c r="E118" s="73">
        <v>7</v>
      </c>
      <c r="F118" s="54">
        <v>350</v>
      </c>
      <c r="G118" s="52"/>
      <c r="H118" s="52"/>
      <c r="I118" s="52"/>
      <c r="J118" s="52"/>
      <c r="K118" s="52"/>
      <c r="L118" s="52"/>
      <c r="M118" s="52"/>
      <c r="N118" s="52"/>
    </row>
    <row r="119" spans="1:14" hidden="1" x14ac:dyDescent="0.2">
      <c r="A119" s="52"/>
      <c r="B119" s="61">
        <v>5011190</v>
      </c>
      <c r="C119" s="125">
        <f t="shared" si="1"/>
        <v>0.16252472339396767</v>
      </c>
      <c r="D119" s="73">
        <v>43</v>
      </c>
      <c r="E119" s="73">
        <v>7</v>
      </c>
      <c r="F119" s="54">
        <v>350</v>
      </c>
      <c r="G119" s="52"/>
      <c r="H119" s="52"/>
      <c r="I119" s="52"/>
      <c r="J119" s="52"/>
      <c r="K119" s="52"/>
      <c r="L119" s="52"/>
      <c r="M119" s="52"/>
      <c r="N119" s="52"/>
    </row>
    <row r="120" spans="1:14" hidden="1" x14ac:dyDescent="0.2">
      <c r="A120" s="52"/>
      <c r="B120" s="61">
        <v>5011210</v>
      </c>
      <c r="C120" s="125">
        <f t="shared" si="1"/>
        <v>0.20788046015507497</v>
      </c>
      <c r="D120" s="73">
        <v>55</v>
      </c>
      <c r="E120" s="73">
        <v>7</v>
      </c>
      <c r="F120" s="54">
        <v>350</v>
      </c>
      <c r="G120" s="52"/>
      <c r="H120" s="52"/>
      <c r="I120" s="52"/>
      <c r="J120" s="52"/>
      <c r="K120" s="52"/>
      <c r="L120" s="52"/>
      <c r="M120" s="52"/>
      <c r="N120" s="52"/>
    </row>
    <row r="121" spans="1:14" hidden="1" x14ac:dyDescent="0.2">
      <c r="A121" s="52"/>
      <c r="B121" s="61">
        <v>5011230</v>
      </c>
      <c r="C121" s="125">
        <f t="shared" si="1"/>
        <v>0.2651650429449553</v>
      </c>
      <c r="D121" s="73">
        <v>75</v>
      </c>
      <c r="E121" s="73">
        <v>8</v>
      </c>
      <c r="F121" s="54">
        <v>350</v>
      </c>
      <c r="G121" s="52"/>
      <c r="H121" s="52"/>
      <c r="I121" s="52"/>
      <c r="J121" s="52"/>
      <c r="K121" s="52"/>
      <c r="L121" s="52"/>
      <c r="M121" s="52"/>
      <c r="N121" s="52"/>
    </row>
    <row r="122" spans="1:14" hidden="1" x14ac:dyDescent="0.2">
      <c r="A122" s="52"/>
      <c r="B122" s="61">
        <v>5011260</v>
      </c>
      <c r="C122" s="125">
        <f t="shared" si="1"/>
        <v>0.28000000000000003</v>
      </c>
      <c r="D122" s="73">
        <v>84</v>
      </c>
      <c r="E122" s="73">
        <v>9</v>
      </c>
      <c r="F122" s="54">
        <v>350</v>
      </c>
      <c r="G122" s="52"/>
      <c r="H122" s="52"/>
      <c r="I122" s="52"/>
      <c r="J122" s="52"/>
      <c r="K122" s="52"/>
      <c r="L122" s="52"/>
      <c r="M122" s="52"/>
      <c r="N122" s="52"/>
    </row>
    <row r="123" spans="1:14" hidden="1" x14ac:dyDescent="0.2">
      <c r="A123" s="52"/>
      <c r="B123" s="61">
        <v>5011290</v>
      </c>
      <c r="C123" s="125">
        <f t="shared" si="1"/>
        <v>0.32887687665751142</v>
      </c>
      <c r="D123" s="73">
        <v>104</v>
      </c>
      <c r="E123" s="73">
        <v>10</v>
      </c>
      <c r="F123" s="54">
        <v>350</v>
      </c>
      <c r="G123" s="52"/>
      <c r="H123" s="52"/>
      <c r="I123" s="52"/>
      <c r="J123" s="52"/>
      <c r="K123" s="52"/>
      <c r="L123" s="52"/>
      <c r="M123" s="52"/>
      <c r="N123" s="52"/>
    </row>
    <row r="124" spans="1:14" hidden="1" x14ac:dyDescent="0.2">
      <c r="A124" s="52"/>
      <c r="B124" s="61">
        <v>5011300</v>
      </c>
      <c r="C124" s="125">
        <f t="shared" si="1"/>
        <v>0.36049965325919525</v>
      </c>
      <c r="D124" s="73">
        <v>114</v>
      </c>
      <c r="E124" s="73">
        <v>10</v>
      </c>
      <c r="F124" s="54">
        <v>350</v>
      </c>
      <c r="G124" s="52"/>
      <c r="H124" s="52"/>
      <c r="I124" s="52"/>
      <c r="J124" s="52"/>
      <c r="K124" s="52"/>
      <c r="L124" s="52"/>
      <c r="M124" s="52"/>
      <c r="N124" s="52"/>
    </row>
    <row r="125" spans="1:14" hidden="1" x14ac:dyDescent="0.2">
      <c r="A125" s="52"/>
      <c r="B125" s="61">
        <v>5011320</v>
      </c>
      <c r="C125" s="125">
        <f t="shared" si="1"/>
        <v>0.38894963450531511</v>
      </c>
      <c r="D125" s="73">
        <v>129</v>
      </c>
      <c r="E125" s="73">
        <v>11</v>
      </c>
      <c r="F125" s="54">
        <v>350</v>
      </c>
      <c r="G125" s="52"/>
      <c r="H125" s="52"/>
      <c r="I125" s="52"/>
      <c r="J125" s="52"/>
      <c r="K125" s="52"/>
      <c r="L125" s="52"/>
      <c r="M125" s="52"/>
      <c r="N125" s="52"/>
    </row>
    <row r="126" spans="1:14" hidden="1" x14ac:dyDescent="0.2">
      <c r="A126" s="52"/>
      <c r="B126" s="61">
        <v>5011350</v>
      </c>
      <c r="C126" s="125">
        <f t="shared" si="1"/>
        <v>0.46432747064975599</v>
      </c>
      <c r="D126" s="73">
        <v>154</v>
      </c>
      <c r="E126" s="73">
        <v>11</v>
      </c>
      <c r="F126" s="54">
        <v>350</v>
      </c>
      <c r="G126" s="52"/>
      <c r="H126" s="52"/>
      <c r="I126" s="52"/>
      <c r="J126" s="52"/>
      <c r="K126" s="52"/>
      <c r="L126" s="52"/>
      <c r="M126" s="52"/>
      <c r="N126" s="52"/>
    </row>
    <row r="127" spans="1:14" hidden="1" x14ac:dyDescent="0.2">
      <c r="A127" s="52"/>
      <c r="B127" s="61">
        <v>5011370</v>
      </c>
      <c r="C127" s="125">
        <f t="shared" si="1"/>
        <v>0.50518148554092246</v>
      </c>
      <c r="D127" s="70">
        <v>175</v>
      </c>
      <c r="E127" s="70">
        <v>12</v>
      </c>
      <c r="F127" s="54">
        <v>350</v>
      </c>
      <c r="G127" s="52"/>
      <c r="H127" s="52"/>
      <c r="I127" s="52"/>
      <c r="J127" s="52"/>
      <c r="K127" s="52"/>
      <c r="L127" s="52"/>
      <c r="M127" s="52"/>
      <c r="N127" s="52"/>
    </row>
    <row r="128" spans="1:14" hidden="1" x14ac:dyDescent="0.2">
      <c r="A128" s="52"/>
      <c r="B128" s="61">
        <v>5011400</v>
      </c>
      <c r="C128" s="125">
        <f t="shared" si="1"/>
        <v>0.58889727457341823</v>
      </c>
      <c r="D128" s="72">
        <v>204</v>
      </c>
      <c r="E128" s="70">
        <v>12</v>
      </c>
      <c r="F128" s="54">
        <v>350</v>
      </c>
      <c r="G128" s="52"/>
      <c r="H128" s="52"/>
      <c r="I128" s="52"/>
      <c r="J128" s="52"/>
      <c r="K128" s="52"/>
      <c r="L128" s="52"/>
      <c r="M128" s="52"/>
      <c r="N128" s="52"/>
    </row>
    <row r="129" spans="2:6" hidden="1" x14ac:dyDescent="0.2">
      <c r="B129" s="61">
        <v>5011430</v>
      </c>
      <c r="C129" s="125">
        <f t="shared" si="1"/>
        <v>0.69570707437349899</v>
      </c>
      <c r="D129" s="70">
        <v>241</v>
      </c>
      <c r="E129" s="70">
        <v>12</v>
      </c>
      <c r="F129" s="54">
        <v>350</v>
      </c>
    </row>
    <row r="130" spans="2:6" hidden="1" x14ac:dyDescent="0.2">
      <c r="B130" s="61">
        <v>5011460</v>
      </c>
      <c r="C130" s="125">
        <f t="shared" si="1"/>
        <v>0.80540362551952804</v>
      </c>
      <c r="D130" s="70">
        <v>279</v>
      </c>
      <c r="E130" s="70">
        <v>12</v>
      </c>
      <c r="F130" s="54">
        <v>350</v>
      </c>
    </row>
    <row r="131" spans="2:6" hidden="1" x14ac:dyDescent="0.2">
      <c r="B131" s="61">
        <v>5011490</v>
      </c>
      <c r="C131" s="125">
        <f t="shared" si="1"/>
        <v>0.88752031396036657</v>
      </c>
      <c r="D131" s="70">
        <v>320</v>
      </c>
      <c r="E131" s="70">
        <v>13</v>
      </c>
      <c r="F131" s="54">
        <v>350</v>
      </c>
    </row>
    <row r="132" spans="2:6" hidden="1" x14ac:dyDescent="0.2">
      <c r="B132" s="61">
        <v>5011510</v>
      </c>
      <c r="C132" s="125">
        <f t="shared" si="1"/>
        <v>0.97072534339415084</v>
      </c>
      <c r="D132" s="70">
        <v>350</v>
      </c>
      <c r="E132" s="70">
        <v>13</v>
      </c>
      <c r="F132" s="54">
        <v>350</v>
      </c>
    </row>
    <row r="133" spans="2:6" hidden="1" x14ac:dyDescent="0.2">
      <c r="B133" s="61">
        <v>5011540</v>
      </c>
      <c r="C133" s="125">
        <f t="shared" si="1"/>
        <v>1.1094003924504583</v>
      </c>
      <c r="D133" s="70">
        <v>400</v>
      </c>
      <c r="E133" s="70">
        <v>13</v>
      </c>
      <c r="F133" s="54">
        <v>350</v>
      </c>
    </row>
    <row r="134" spans="2:6" hidden="1" x14ac:dyDescent="0.2">
      <c r="B134" s="61">
        <v>5011570</v>
      </c>
      <c r="C134" s="125">
        <f t="shared" si="1"/>
        <v>1.2748361239222641</v>
      </c>
      <c r="D134" s="70">
        <v>477</v>
      </c>
      <c r="E134" s="70">
        <v>14</v>
      </c>
      <c r="F134" s="54">
        <v>350</v>
      </c>
    </row>
    <row r="135" spans="2:6" hidden="1" x14ac:dyDescent="0.2">
      <c r="B135" s="61">
        <v>5011620</v>
      </c>
      <c r="C135" s="125">
        <f t="shared" si="1"/>
        <v>1.4565737684227129</v>
      </c>
      <c r="D135" s="70">
        <v>545</v>
      </c>
      <c r="E135" s="70">
        <v>14</v>
      </c>
      <c r="F135" s="54">
        <v>350</v>
      </c>
    </row>
    <row r="136" spans="2:6" hidden="1" x14ac:dyDescent="0.2">
      <c r="B136" s="61">
        <v>5011725</v>
      </c>
      <c r="C136" s="125">
        <f t="shared" si="1"/>
        <v>1.6436566377614099</v>
      </c>
      <c r="D136" s="70">
        <v>615</v>
      </c>
      <c r="E136" s="70">
        <v>14</v>
      </c>
      <c r="F136" s="54">
        <v>350</v>
      </c>
    </row>
    <row r="137" spans="2:6" hidden="1" x14ac:dyDescent="0.2">
      <c r="B137" s="61">
        <v>5011730</v>
      </c>
      <c r="C137" s="125">
        <f t="shared" si="1"/>
        <v>1.7906503208132434</v>
      </c>
      <c r="D137" s="70">
        <v>670</v>
      </c>
      <c r="E137" s="70">
        <v>14</v>
      </c>
      <c r="F137" s="54">
        <v>350</v>
      </c>
    </row>
    <row r="138" spans="2:6" hidden="1" x14ac:dyDescent="0.2">
      <c r="B138" s="61">
        <v>5011735</v>
      </c>
      <c r="C138" s="125">
        <f t="shared" si="1"/>
        <v>1.9670427404754434</v>
      </c>
      <c r="D138" s="70">
        <v>736</v>
      </c>
      <c r="E138" s="70">
        <v>14</v>
      </c>
      <c r="F138" s="54">
        <v>350</v>
      </c>
    </row>
    <row r="139" spans="2:6" hidden="1" x14ac:dyDescent="0.2">
      <c r="B139" s="61">
        <v>5011740</v>
      </c>
      <c r="C139" s="125">
        <f t="shared" si="1"/>
        <v>1.9975000000000001</v>
      </c>
      <c r="D139" s="70">
        <v>799</v>
      </c>
      <c r="E139" s="70">
        <v>16</v>
      </c>
      <c r="F139" s="54">
        <v>350</v>
      </c>
    </row>
    <row r="140" spans="2:6" hidden="1" x14ac:dyDescent="0.2">
      <c r="B140" s="61">
        <v>5011745</v>
      </c>
      <c r="C140" s="125">
        <f t="shared" si="1"/>
        <v>1.9959168846738875</v>
      </c>
      <c r="D140" s="70">
        <v>870</v>
      </c>
      <c r="E140" s="70">
        <v>19</v>
      </c>
      <c r="F140" s="54">
        <v>350</v>
      </c>
    </row>
    <row r="141" spans="2:6" hidden="1" x14ac:dyDescent="0.2">
      <c r="B141" s="61">
        <v>5011750</v>
      </c>
      <c r="C141" s="125">
        <f t="shared" si="1"/>
        <v>2.042519452608889</v>
      </c>
      <c r="D141" s="70">
        <v>936</v>
      </c>
      <c r="E141" s="70">
        <v>21</v>
      </c>
      <c r="F141" s="54">
        <v>350</v>
      </c>
    </row>
    <row r="142" spans="2:6" hidden="1" x14ac:dyDescent="0.2">
      <c r="B142" s="61">
        <v>5020700</v>
      </c>
      <c r="C142" s="125">
        <f t="shared" si="1"/>
        <v>2.1746473068272265</v>
      </c>
      <c r="D142" s="70">
        <v>1020</v>
      </c>
      <c r="E142" s="70">
        <v>22</v>
      </c>
      <c r="F142" s="54">
        <v>350</v>
      </c>
    </row>
    <row r="143" spans="2:6" hidden="1" x14ac:dyDescent="0.2">
      <c r="B143" s="61">
        <v>5020740</v>
      </c>
      <c r="C143" s="125">
        <f t="shared" si="1"/>
        <v>2.3046997438041488</v>
      </c>
      <c r="D143" s="70">
        <v>1081</v>
      </c>
      <c r="E143" s="70">
        <v>22</v>
      </c>
      <c r="F143" s="54">
        <v>350</v>
      </c>
    </row>
    <row r="144" spans="2:6" hidden="1" x14ac:dyDescent="0.2">
      <c r="B144" s="61">
        <v>5020770</v>
      </c>
      <c r="C144" s="125">
        <f t="shared" si="1"/>
        <v>2.5477485604495449</v>
      </c>
      <c r="D144" s="70">
        <v>1195</v>
      </c>
      <c r="E144" s="70">
        <v>22</v>
      </c>
      <c r="F144" s="54">
        <v>350</v>
      </c>
    </row>
    <row r="145" spans="2:6" hidden="1" x14ac:dyDescent="0.2">
      <c r="B145" s="61">
        <v>5020820</v>
      </c>
      <c r="C145" s="125">
        <f t="shared" si="1"/>
        <v>2.783667427661948</v>
      </c>
      <c r="D145" s="70">
        <v>1335</v>
      </c>
      <c r="E145" s="70">
        <v>23</v>
      </c>
      <c r="F145" s="54">
        <v>350</v>
      </c>
    </row>
    <row r="146" spans="2:6" hidden="1" x14ac:dyDescent="0.2">
      <c r="B146" s="61">
        <v>5020860</v>
      </c>
      <c r="C146" s="125">
        <f t="shared" si="1"/>
        <v>3.092268760466419</v>
      </c>
      <c r="D146" s="70">
        <v>1483</v>
      </c>
      <c r="E146" s="70">
        <v>23</v>
      </c>
      <c r="F146" s="54">
        <v>350</v>
      </c>
    </row>
    <row r="147" spans="2:6" hidden="1" x14ac:dyDescent="0.2">
      <c r="B147" s="61">
        <v>5020880</v>
      </c>
      <c r="C147" s="125">
        <f t="shared" si="1"/>
        <v>3.296612886242352</v>
      </c>
      <c r="D147" s="70">
        <v>1581</v>
      </c>
      <c r="E147" s="70">
        <v>23</v>
      </c>
      <c r="F147" s="54">
        <v>350</v>
      </c>
    </row>
    <row r="148" spans="2:6" hidden="1" x14ac:dyDescent="0.2">
      <c r="B148" s="61">
        <v>5020920</v>
      </c>
      <c r="C148" s="125">
        <f t="shared" si="1"/>
        <v>3.6211623364144652</v>
      </c>
      <c r="D148" s="70">
        <v>1774</v>
      </c>
      <c r="E148" s="70">
        <v>24</v>
      </c>
      <c r="F148" s="54">
        <v>350</v>
      </c>
    </row>
    <row r="149" spans="2:6" hidden="1" x14ac:dyDescent="0.2">
      <c r="B149" s="61">
        <v>5020940</v>
      </c>
      <c r="C149" s="125">
        <f t="shared" si="1"/>
        <v>3.8436576547172705</v>
      </c>
      <c r="D149" s="70">
        <v>1883</v>
      </c>
      <c r="E149" s="70">
        <v>24</v>
      </c>
      <c r="F149" s="54">
        <v>350</v>
      </c>
    </row>
    <row r="150" spans="2:6" hidden="1" x14ac:dyDescent="0.2">
      <c r="B150" s="61">
        <v>5020990</v>
      </c>
      <c r="C150" s="125">
        <f t="shared" si="1"/>
        <v>4.16</v>
      </c>
      <c r="D150" s="70">
        <v>2080</v>
      </c>
      <c r="E150" s="70">
        <v>25</v>
      </c>
      <c r="F150" s="54">
        <v>350</v>
      </c>
    </row>
    <row r="151" spans="2:6" hidden="1" x14ac:dyDescent="0.2">
      <c r="B151" s="61">
        <v>5021030</v>
      </c>
      <c r="C151" s="125">
        <f t="shared" si="1"/>
        <v>4.4145742019605221</v>
      </c>
      <c r="D151" s="70">
        <v>2251</v>
      </c>
      <c r="E151" s="70">
        <v>26</v>
      </c>
      <c r="F151" s="54">
        <v>350</v>
      </c>
    </row>
    <row r="152" spans="2:6" hidden="1" x14ac:dyDescent="0.2">
      <c r="B152" s="61">
        <v>5021060</v>
      </c>
      <c r="C152" s="125">
        <f t="shared" si="1"/>
        <v>4.4629175808358061</v>
      </c>
      <c r="D152" s="70">
        <v>2319</v>
      </c>
      <c r="E152" s="70">
        <v>27</v>
      </c>
      <c r="F152" s="54">
        <v>350</v>
      </c>
    </row>
    <row r="153" spans="2:6" hidden="1" x14ac:dyDescent="0.2">
      <c r="B153" s="61">
        <v>5021090</v>
      </c>
      <c r="C153" s="125">
        <f t="shared" si="1"/>
        <v>4.6262851496329409</v>
      </c>
      <c r="D153" s="70">
        <v>2448</v>
      </c>
      <c r="E153" s="70">
        <v>28</v>
      </c>
      <c r="F153" s="54">
        <v>350</v>
      </c>
    </row>
    <row r="154" spans="2:6" hidden="1" x14ac:dyDescent="0.2">
      <c r="B154" s="99">
        <v>5033073</v>
      </c>
      <c r="C154" s="125">
        <f t="shared" si="1"/>
        <v>1.9456704071690389</v>
      </c>
      <c r="D154" s="59">
        <v>674</v>
      </c>
      <c r="E154" s="59">
        <v>12</v>
      </c>
      <c r="F154" s="54">
        <v>350</v>
      </c>
    </row>
    <row r="155" spans="2:6" hidden="1" x14ac:dyDescent="0.2">
      <c r="B155" s="99">
        <v>5033082</v>
      </c>
      <c r="C155" s="125">
        <f t="shared" si="1"/>
        <v>2.4854929088613389</v>
      </c>
      <c r="D155" s="59">
        <v>861</v>
      </c>
      <c r="E155" s="59">
        <v>12</v>
      </c>
      <c r="F155" s="54">
        <v>350</v>
      </c>
    </row>
    <row r="156" spans="2:6" hidden="1" x14ac:dyDescent="0.2">
      <c r="B156" s="99">
        <v>5033089</v>
      </c>
      <c r="C156" s="125">
        <f t="shared" si="1"/>
        <v>2.9444863728670914</v>
      </c>
      <c r="D156" s="59">
        <v>1020</v>
      </c>
      <c r="E156" s="59">
        <v>12</v>
      </c>
      <c r="F156" s="54">
        <v>350</v>
      </c>
    </row>
    <row r="157" spans="2:6" hidden="1" x14ac:dyDescent="0.2">
      <c r="B157" s="99">
        <v>5033094</v>
      </c>
      <c r="C157" s="125">
        <f t="shared" si="1"/>
        <v>3.279349528997074</v>
      </c>
      <c r="D157" s="59">
        <v>1136</v>
      </c>
      <c r="E157" s="59">
        <v>12</v>
      </c>
      <c r="F157" s="54">
        <v>350</v>
      </c>
    </row>
    <row r="158" spans="2:6" hidden="1" x14ac:dyDescent="0.2">
      <c r="B158" s="99">
        <v>5033096</v>
      </c>
      <c r="C158" s="125">
        <f t="shared" si="1"/>
        <v>3.4352341016782733</v>
      </c>
      <c r="D158" s="59">
        <v>1190</v>
      </c>
      <c r="E158" s="59">
        <v>12</v>
      </c>
      <c r="F158" s="54">
        <v>350</v>
      </c>
    </row>
    <row r="159" spans="2:6" hidden="1" x14ac:dyDescent="0.2">
      <c r="B159" s="99">
        <v>5033098</v>
      </c>
      <c r="C159" s="125">
        <f t="shared" si="1"/>
        <v>3.527893247992457</v>
      </c>
      <c r="D159" s="59">
        <v>1272</v>
      </c>
      <c r="E159" s="59">
        <v>13</v>
      </c>
      <c r="F159" s="54">
        <v>350</v>
      </c>
    </row>
    <row r="160" spans="2:6" hidden="1" x14ac:dyDescent="0.2">
      <c r="B160" s="99">
        <v>5033102</v>
      </c>
      <c r="C160" s="125">
        <f t="shared" si="1"/>
        <v>3.74145282353917</v>
      </c>
      <c r="D160" s="59">
        <v>1349</v>
      </c>
      <c r="E160" s="59">
        <v>13</v>
      </c>
      <c r="F160" s="54">
        <v>350</v>
      </c>
    </row>
    <row r="161" spans="2:6" hidden="1" x14ac:dyDescent="0.2">
      <c r="B161" s="99">
        <v>5033107</v>
      </c>
      <c r="C161" s="125">
        <f t="shared" si="1"/>
        <v>4.1186489569723266</v>
      </c>
      <c r="D161" s="59">
        <v>1485</v>
      </c>
      <c r="E161" s="59">
        <v>13</v>
      </c>
      <c r="F161" s="54">
        <v>350</v>
      </c>
    </row>
    <row r="162" spans="2:6" hidden="1" x14ac:dyDescent="0.2">
      <c r="B162" s="99">
        <v>5033111</v>
      </c>
      <c r="C162" s="125">
        <f t="shared" si="1"/>
        <v>4.1879836607676895</v>
      </c>
      <c r="D162" s="59">
        <v>1567</v>
      </c>
      <c r="E162" s="59">
        <v>14</v>
      </c>
      <c r="F162" s="54">
        <v>350</v>
      </c>
    </row>
    <row r="163" spans="2:6" hidden="1" x14ac:dyDescent="0.2">
      <c r="B163" s="99">
        <v>5033112</v>
      </c>
      <c r="C163" s="125">
        <f t="shared" si="1"/>
        <v>4.3590308555916417</v>
      </c>
      <c r="D163" s="59">
        <v>1631</v>
      </c>
      <c r="E163" s="59">
        <v>14</v>
      </c>
      <c r="F163" s="54">
        <v>350</v>
      </c>
    </row>
    <row r="164" spans="2:6" hidden="1" x14ac:dyDescent="0.2">
      <c r="B164" s="99">
        <v>5033118</v>
      </c>
      <c r="C164" s="125">
        <f t="shared" si="1"/>
        <v>4.8507915407105022</v>
      </c>
      <c r="D164" s="59">
        <v>1815</v>
      </c>
      <c r="E164" s="59">
        <v>14</v>
      </c>
      <c r="F164" s="54">
        <v>350</v>
      </c>
    </row>
    <row r="165" spans="2:6" hidden="1" x14ac:dyDescent="0.2">
      <c r="B165" s="99">
        <v>5033124</v>
      </c>
      <c r="C165" s="125">
        <f t="shared" si="1"/>
        <v>5.166559783840694</v>
      </c>
      <c r="D165" s="59">
        <v>2001</v>
      </c>
      <c r="E165" s="59">
        <v>15</v>
      </c>
      <c r="F165" s="54">
        <v>350</v>
      </c>
    </row>
    <row r="166" spans="2:6" hidden="1" x14ac:dyDescent="0.2">
      <c r="B166" s="99">
        <v>5033125</v>
      </c>
      <c r="C166" s="125">
        <f t="shared" si="1"/>
        <v>5.1099999999999994</v>
      </c>
      <c r="D166" s="59">
        <v>2044</v>
      </c>
      <c r="E166" s="59">
        <v>16</v>
      </c>
      <c r="F166" s="54">
        <v>350</v>
      </c>
    </row>
    <row r="167" spans="2:6" hidden="1" x14ac:dyDescent="0.2">
      <c r="B167" s="99">
        <v>5033129</v>
      </c>
      <c r="C167" s="125">
        <f t="shared" si="1"/>
        <v>5.4274999999999993</v>
      </c>
      <c r="D167" s="59">
        <v>2171</v>
      </c>
      <c r="E167" s="59">
        <v>16</v>
      </c>
      <c r="F167" s="54">
        <v>350</v>
      </c>
    </row>
    <row r="168" spans="2:6" hidden="1" x14ac:dyDescent="0.2">
      <c r="B168" s="99">
        <v>5033132</v>
      </c>
      <c r="C168" s="125">
        <f t="shared" si="1"/>
        <v>5.5079840445751218</v>
      </c>
      <c r="D168" s="59">
        <v>2271</v>
      </c>
      <c r="E168" s="59">
        <v>17</v>
      </c>
      <c r="F168" s="54">
        <v>350</v>
      </c>
    </row>
    <row r="169" spans="2:6" hidden="1" x14ac:dyDescent="0.2">
      <c r="B169" s="99">
        <v>5033135</v>
      </c>
      <c r="C169" s="125">
        <f t="shared" ref="C169:C196" si="2">D169/1000/(E169/100)^0.5</f>
        <v>5.7723478758647246</v>
      </c>
      <c r="D169" s="59">
        <v>2380</v>
      </c>
      <c r="E169" s="59">
        <v>17</v>
      </c>
      <c r="F169" s="54">
        <v>350</v>
      </c>
    </row>
    <row r="170" spans="2:6" hidden="1" x14ac:dyDescent="0.2">
      <c r="B170" s="99">
        <v>5033138</v>
      </c>
      <c r="C170" s="125">
        <f t="shared" si="2"/>
        <v>5.8878424646799861</v>
      </c>
      <c r="D170" s="59">
        <v>2498</v>
      </c>
      <c r="E170" s="59">
        <v>18</v>
      </c>
      <c r="F170" s="54">
        <v>350</v>
      </c>
    </row>
    <row r="171" spans="2:6" hidden="1" x14ac:dyDescent="0.2">
      <c r="B171" s="99">
        <v>5033142</v>
      </c>
      <c r="C171" s="125">
        <f t="shared" si="2"/>
        <v>6.2201826518376624</v>
      </c>
      <c r="D171" s="59">
        <v>2639</v>
      </c>
      <c r="E171" s="59">
        <v>18</v>
      </c>
      <c r="F171" s="54">
        <v>350</v>
      </c>
    </row>
    <row r="172" spans="2:6" hidden="1" x14ac:dyDescent="0.2">
      <c r="B172" s="99">
        <v>5033148</v>
      </c>
      <c r="C172" s="125">
        <f t="shared" si="2"/>
        <v>6.5865257194238289</v>
      </c>
      <c r="D172" s="59">
        <v>2871</v>
      </c>
      <c r="E172" s="59">
        <v>19</v>
      </c>
      <c r="F172" s="54">
        <v>350</v>
      </c>
    </row>
    <row r="173" spans="2:6" hidden="1" x14ac:dyDescent="0.2">
      <c r="B173" s="99">
        <v>5033156</v>
      </c>
      <c r="C173" s="125">
        <f t="shared" si="2"/>
        <v>6.963332877430517</v>
      </c>
      <c r="D173" s="59">
        <v>3191</v>
      </c>
      <c r="E173" s="59">
        <v>21</v>
      </c>
      <c r="F173" s="54">
        <v>350</v>
      </c>
    </row>
    <row r="174" spans="2:6" hidden="1" x14ac:dyDescent="0.2">
      <c r="B174" s="99">
        <v>5033161</v>
      </c>
      <c r="C174" s="125">
        <f t="shared" si="2"/>
        <v>7.2637484062356474</v>
      </c>
      <c r="D174" s="59">
        <v>3407</v>
      </c>
      <c r="E174" s="59">
        <v>22</v>
      </c>
      <c r="F174" s="54">
        <v>350</v>
      </c>
    </row>
    <row r="175" spans="2:6" hidden="1" x14ac:dyDescent="0.2">
      <c r="B175" s="99">
        <v>5033163</v>
      </c>
      <c r="C175" s="125">
        <f t="shared" si="2"/>
        <v>7.4321769721565802</v>
      </c>
      <c r="D175" s="59">
        <v>3486</v>
      </c>
      <c r="E175" s="59">
        <v>22</v>
      </c>
      <c r="F175" s="54">
        <v>350</v>
      </c>
    </row>
    <row r="176" spans="2:6" hidden="1" x14ac:dyDescent="0.2">
      <c r="B176" s="99">
        <v>5044148</v>
      </c>
      <c r="C176" s="125">
        <f t="shared" si="2"/>
        <v>8.1258710302342365</v>
      </c>
      <c r="D176" s="59">
        <v>3634</v>
      </c>
      <c r="E176" s="59">
        <v>20</v>
      </c>
      <c r="F176" s="54">
        <v>350</v>
      </c>
    </row>
    <row r="177" spans="2:6" hidden="1" x14ac:dyDescent="0.2">
      <c r="B177" s="99">
        <v>5044152</v>
      </c>
      <c r="C177" s="125">
        <f t="shared" si="2"/>
        <v>8.0326005395868805</v>
      </c>
      <c r="D177" s="59">
        <v>3681</v>
      </c>
      <c r="E177" s="59">
        <v>21</v>
      </c>
      <c r="F177" s="54">
        <v>350</v>
      </c>
    </row>
    <row r="178" spans="2:6" hidden="1" x14ac:dyDescent="0.2">
      <c r="B178" s="99">
        <v>5044156</v>
      </c>
      <c r="C178" s="125">
        <f t="shared" si="2"/>
        <v>8.9207473528473695</v>
      </c>
      <c r="D178" s="59">
        <v>4088</v>
      </c>
      <c r="E178" s="59">
        <v>21</v>
      </c>
      <c r="F178" s="54">
        <v>350</v>
      </c>
    </row>
    <row r="179" spans="2:6" hidden="1" x14ac:dyDescent="0.2">
      <c r="B179" s="124">
        <v>5044164</v>
      </c>
      <c r="C179" s="125">
        <f t="shared" si="2"/>
        <v>9.4161019636830723</v>
      </c>
      <c r="D179" s="59">
        <v>4315</v>
      </c>
      <c r="E179" s="59">
        <v>21</v>
      </c>
      <c r="F179" s="54">
        <v>350</v>
      </c>
    </row>
    <row r="180" spans="2:6" hidden="1" x14ac:dyDescent="0.2">
      <c r="B180" s="99">
        <v>5044168</v>
      </c>
      <c r="C180" s="125">
        <f t="shared" si="2"/>
        <v>9.6835765368718256</v>
      </c>
      <c r="D180" s="59">
        <v>4542</v>
      </c>
      <c r="E180" s="59">
        <v>22</v>
      </c>
      <c r="F180" s="54">
        <v>350</v>
      </c>
    </row>
    <row r="181" spans="2:6" hidden="1" x14ac:dyDescent="0.2">
      <c r="B181" s="99">
        <v>5044173</v>
      </c>
      <c r="C181" s="125">
        <f t="shared" si="2"/>
        <v>10.167542162999062</v>
      </c>
      <c r="D181" s="59">
        <v>4769</v>
      </c>
      <c r="E181" s="59">
        <v>22</v>
      </c>
      <c r="F181" s="54">
        <v>350</v>
      </c>
    </row>
    <row r="182" spans="2:6" hidden="1" x14ac:dyDescent="0.2">
      <c r="B182" s="99">
        <v>5044176</v>
      </c>
      <c r="C182" s="125">
        <f t="shared" si="2"/>
        <v>10.417380126291455</v>
      </c>
      <c r="D182" s="59">
        <v>4996</v>
      </c>
      <c r="E182" s="59">
        <v>23</v>
      </c>
      <c r="F182" s="54">
        <v>350</v>
      </c>
    </row>
    <row r="183" spans="2:6" hidden="1" x14ac:dyDescent="0.2">
      <c r="B183" s="99">
        <v>5044182</v>
      </c>
      <c r="C183" s="125">
        <f t="shared" si="2"/>
        <v>11.124765915140268</v>
      </c>
      <c r="D183" s="59">
        <v>5450</v>
      </c>
      <c r="E183" s="59">
        <v>24</v>
      </c>
      <c r="F183" s="54">
        <v>350</v>
      </c>
    </row>
    <row r="184" spans="2:6" hidden="1" x14ac:dyDescent="0.2">
      <c r="B184" s="99">
        <v>5044191</v>
      </c>
      <c r="C184" s="125">
        <f t="shared" si="2"/>
        <v>11.81</v>
      </c>
      <c r="D184" s="59">
        <v>5905</v>
      </c>
      <c r="E184" s="59">
        <v>25</v>
      </c>
      <c r="F184" s="54">
        <v>350</v>
      </c>
    </row>
    <row r="185" spans="2:6" hidden="1" x14ac:dyDescent="0.2">
      <c r="B185" s="99">
        <v>5044194</v>
      </c>
      <c r="C185" s="125">
        <f t="shared" si="2"/>
        <v>12.824034076685852</v>
      </c>
      <c r="D185" s="59">
        <v>6539</v>
      </c>
      <c r="E185" s="59">
        <v>26</v>
      </c>
      <c r="F185" s="54">
        <v>350</v>
      </c>
    </row>
    <row r="186" spans="2:6" hidden="1" x14ac:dyDescent="0.2">
      <c r="B186" s="99">
        <v>5044200</v>
      </c>
      <c r="C186" s="125">
        <f t="shared" si="2"/>
        <v>13.146265629447777</v>
      </c>
      <c r="D186" s="59">
        <v>6831</v>
      </c>
      <c r="E186" s="59">
        <v>27</v>
      </c>
      <c r="F186" s="54">
        <v>350</v>
      </c>
    </row>
    <row r="187" spans="2:6" hidden="1" x14ac:dyDescent="0.2">
      <c r="B187" s="99">
        <v>5044205</v>
      </c>
      <c r="C187" s="125">
        <f t="shared" si="2"/>
        <v>13.733339126790272</v>
      </c>
      <c r="D187" s="59">
        <v>7267</v>
      </c>
      <c r="E187" s="59">
        <v>28</v>
      </c>
      <c r="F187" s="54">
        <v>350</v>
      </c>
    </row>
    <row r="188" spans="2:6" hidden="1" x14ac:dyDescent="0.2">
      <c r="B188" s="99">
        <v>5044211</v>
      </c>
      <c r="C188" s="125">
        <f t="shared" si="2"/>
        <v>14.096552888324627</v>
      </c>
      <c r="D188" s="59">
        <v>7721</v>
      </c>
      <c r="E188" s="59">
        <v>30</v>
      </c>
      <c r="F188" s="54">
        <v>350</v>
      </c>
    </row>
    <row r="189" spans="2:6" hidden="1" x14ac:dyDescent="0.2">
      <c r="B189" s="99">
        <v>5044217</v>
      </c>
      <c r="C189" s="125">
        <f t="shared" si="2"/>
        <v>14.684529493709116</v>
      </c>
      <c r="D189" s="59">
        <v>8176</v>
      </c>
      <c r="E189" s="59">
        <v>31</v>
      </c>
      <c r="F189" s="54">
        <v>350</v>
      </c>
    </row>
    <row r="190" spans="2:6" hidden="1" x14ac:dyDescent="0.2">
      <c r="B190" s="99">
        <v>5044222</v>
      </c>
      <c r="C190" s="125">
        <f t="shared" si="2"/>
        <v>15.022901708976725</v>
      </c>
      <c r="D190" s="59">
        <v>8630</v>
      </c>
      <c r="E190" s="59">
        <v>33</v>
      </c>
      <c r="F190" s="54">
        <v>350</v>
      </c>
    </row>
    <row r="191" spans="2:6" hidden="1" x14ac:dyDescent="0.2">
      <c r="B191" s="99">
        <v>5044229</v>
      </c>
      <c r="C191" s="125">
        <f t="shared" si="2"/>
        <v>15.578931474345501</v>
      </c>
      <c r="D191" s="59">
        <v>9084</v>
      </c>
      <c r="E191" s="59">
        <v>34</v>
      </c>
      <c r="F191" s="54">
        <v>350</v>
      </c>
    </row>
    <row r="192" spans="2:6" hidden="1" x14ac:dyDescent="0.2">
      <c r="B192" s="99">
        <v>5044235</v>
      </c>
      <c r="C192" s="125">
        <f t="shared" si="2"/>
        <v>15.896666666666668</v>
      </c>
      <c r="D192" s="59">
        <v>9538</v>
      </c>
      <c r="E192" s="59">
        <v>36</v>
      </c>
      <c r="F192" s="54">
        <v>350</v>
      </c>
    </row>
    <row r="193" spans="2:6" hidden="1" x14ac:dyDescent="0.2">
      <c r="B193" s="99">
        <v>5044241</v>
      </c>
      <c r="C193" s="125">
        <f t="shared" si="2"/>
        <v>16.205919970963176</v>
      </c>
      <c r="D193" s="59">
        <v>9990</v>
      </c>
      <c r="E193" s="59">
        <v>38</v>
      </c>
      <c r="F193" s="54">
        <v>350</v>
      </c>
    </row>
    <row r="194" spans="2:6" hidden="1" x14ac:dyDescent="0.2">
      <c r="B194" s="99">
        <v>5044248</v>
      </c>
      <c r="C194" s="125">
        <f t="shared" si="2"/>
        <v>16.514995080229362</v>
      </c>
      <c r="D194" s="59">
        <v>10445</v>
      </c>
      <c r="E194" s="59">
        <v>40</v>
      </c>
      <c r="F194" s="54">
        <v>350</v>
      </c>
    </row>
    <row r="195" spans="2:6" hidden="1" x14ac:dyDescent="0.2">
      <c r="B195" s="99">
        <v>5044250</v>
      </c>
      <c r="C195" s="125">
        <f t="shared" si="2"/>
        <v>16.81906514586802</v>
      </c>
      <c r="D195" s="59">
        <v>10900</v>
      </c>
      <c r="E195" s="59">
        <v>42</v>
      </c>
      <c r="F195" s="54">
        <v>350</v>
      </c>
    </row>
    <row r="196" spans="2:6" ht="13.5" hidden="1" thickBot="1" x14ac:dyDescent="0.25">
      <c r="B196" s="100">
        <v>5044262</v>
      </c>
      <c r="C196" s="125">
        <f t="shared" si="2"/>
        <v>17.118306588402532</v>
      </c>
      <c r="D196" s="63">
        <v>11355</v>
      </c>
      <c r="E196" s="63">
        <v>44</v>
      </c>
      <c r="F196" s="55">
        <v>350</v>
      </c>
    </row>
  </sheetData>
  <sheetProtection password="EF28" sheet="1" objects="1" scenarios="1"/>
  <mergeCells count="3">
    <mergeCell ref="A2:N2"/>
    <mergeCell ref="B15:C15"/>
    <mergeCell ref="A1:N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5"/>
  <sheetViews>
    <sheetView showGridLines="0" tabSelected="1" zoomScaleNormal="100" workbookViewId="0">
      <selection activeCell="C21" sqref="C21"/>
    </sheetView>
  </sheetViews>
  <sheetFormatPr baseColWidth="10" defaultColWidth="11.42578125" defaultRowHeight="12.75" x14ac:dyDescent="0.2"/>
  <cols>
    <col min="1" max="1" width="15.140625" style="52" customWidth="1"/>
    <col min="2" max="2" width="14.7109375" style="52" bestFit="1" customWidth="1"/>
    <col min="3" max="4" width="10.7109375" style="52" customWidth="1"/>
    <col min="5" max="5" width="16" style="52" bestFit="1" customWidth="1"/>
    <col min="6" max="6" width="13.5703125" style="52" bestFit="1" customWidth="1"/>
    <col min="7" max="7" width="14.85546875" style="52" bestFit="1" customWidth="1"/>
    <col min="8" max="8" width="9.7109375" style="52" customWidth="1"/>
    <col min="9" max="9" width="8.140625" style="52" customWidth="1"/>
    <col min="10" max="10" width="8.7109375" style="52" customWidth="1"/>
    <col min="11" max="11" width="8.42578125" style="52" customWidth="1"/>
    <col min="12" max="12" width="9.7109375" style="52" customWidth="1"/>
    <col min="13" max="13" width="6.5703125" style="52" customWidth="1"/>
    <col min="14" max="14" width="4.7109375" style="52" hidden="1" customWidth="1"/>
    <col min="15" max="15" width="9.7109375" style="52" customWidth="1"/>
    <col min="16" max="17" width="8.7109375" style="52" customWidth="1"/>
    <col min="18" max="18" width="9.7109375" style="52" customWidth="1"/>
    <col min="19" max="19" width="8.7109375" style="52" customWidth="1"/>
    <col min="20" max="20" width="8.7109375" style="253" customWidth="1"/>
    <col min="21" max="21" width="8.7109375" style="52" customWidth="1"/>
    <col min="22" max="28" width="11.42578125" style="52" customWidth="1"/>
    <col min="29" max="29" width="12.85546875" style="52" bestFit="1" customWidth="1"/>
    <col min="30" max="16384" width="11.42578125" style="52"/>
  </cols>
  <sheetData>
    <row r="1" spans="1:44" ht="21" thickTop="1" x14ac:dyDescent="0.3">
      <c r="A1" s="347"/>
      <c r="B1" s="240" t="s">
        <v>205</v>
      </c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52"/>
      <c r="S1" s="346"/>
      <c r="T1" s="346"/>
      <c r="U1" s="346"/>
      <c r="V1" s="346"/>
      <c r="W1" s="346"/>
      <c r="X1" s="346"/>
      <c r="Y1" s="346"/>
      <c r="Z1" s="346"/>
      <c r="AA1" s="346"/>
      <c r="AB1" s="346"/>
      <c r="AC1" s="346"/>
      <c r="AD1" s="346"/>
      <c r="AE1" s="346"/>
      <c r="AF1" s="346"/>
      <c r="AG1" s="346"/>
      <c r="AH1" s="346"/>
      <c r="AI1" s="66"/>
      <c r="AJ1" s="66"/>
      <c r="AK1" s="66"/>
      <c r="AL1" s="66"/>
      <c r="AM1" s="66"/>
      <c r="AN1" s="66"/>
      <c r="AO1" s="66"/>
      <c r="AP1" s="66"/>
      <c r="AQ1" s="66"/>
      <c r="AR1" s="66"/>
    </row>
    <row r="2" spans="1:44" ht="20.25" customHeight="1" thickBot="1" x14ac:dyDescent="0.35">
      <c r="A2" s="241" t="s">
        <v>104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345"/>
      <c r="S2" s="344"/>
    </row>
    <row r="3" spans="1:44" ht="13.5" hidden="1" thickTop="1" x14ac:dyDescent="0.2">
      <c r="A3" s="57"/>
      <c r="B3" s="53"/>
      <c r="C3" s="53"/>
      <c r="D3" s="56"/>
      <c r="E3" s="56"/>
      <c r="F3" s="56"/>
      <c r="G3" s="56"/>
      <c r="H3" s="56"/>
      <c r="I3" s="96"/>
      <c r="J3" s="69"/>
      <c r="K3" s="343"/>
      <c r="L3" s="342"/>
      <c r="M3" s="66"/>
      <c r="N3" s="66"/>
      <c r="O3" s="66"/>
      <c r="P3" s="66"/>
      <c r="Q3" s="66"/>
      <c r="R3" s="9"/>
    </row>
    <row r="4" spans="1:44" ht="13.5" thickTop="1" x14ac:dyDescent="0.2">
      <c r="A4" s="57"/>
      <c r="B4" s="53"/>
      <c r="C4" s="53"/>
      <c r="D4" s="56"/>
      <c r="E4" s="56"/>
      <c r="F4" s="56"/>
      <c r="G4" s="56"/>
      <c r="H4" s="56"/>
      <c r="I4" s="96"/>
      <c r="J4" s="69"/>
      <c r="K4" s="343"/>
      <c r="L4" s="342"/>
      <c r="M4" s="66"/>
      <c r="N4" s="66"/>
      <c r="O4" s="66"/>
      <c r="P4" s="66"/>
      <c r="Q4" s="66"/>
      <c r="R4" s="9"/>
    </row>
    <row r="5" spans="1:44" ht="13.5" thickBot="1" x14ac:dyDescent="0.25">
      <c r="A5" s="57"/>
      <c r="B5" s="98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95"/>
    </row>
    <row r="6" spans="1:44" ht="14.25" thickTop="1" thickBot="1" x14ac:dyDescent="0.25">
      <c r="A6" s="235" t="s">
        <v>206</v>
      </c>
      <c r="B6" s="341" t="s">
        <v>204</v>
      </c>
      <c r="C6" s="340"/>
      <c r="D6" s="338"/>
      <c r="E6" s="339" t="s">
        <v>203</v>
      </c>
      <c r="F6" s="338"/>
      <c r="G6" s="337" t="s">
        <v>212</v>
      </c>
      <c r="H6" s="336"/>
      <c r="I6" s="66"/>
      <c r="J6" s="66"/>
      <c r="K6" s="66"/>
      <c r="L6" s="53"/>
      <c r="M6" s="53"/>
      <c r="N6" s="53"/>
      <c r="O6" s="53"/>
      <c r="P6" s="53"/>
      <c r="Q6" s="53"/>
      <c r="R6" s="95"/>
      <c r="S6" s="69"/>
      <c r="T6" s="302"/>
      <c r="V6" s="335"/>
    </row>
    <row r="7" spans="1:44" ht="14.25" thickTop="1" thickBot="1" x14ac:dyDescent="0.25">
      <c r="A7" s="334"/>
      <c r="B7" s="333"/>
      <c r="C7" s="332" t="s">
        <v>208</v>
      </c>
      <c r="D7" s="348">
        <v>5255179</v>
      </c>
      <c r="E7" s="331" t="s">
        <v>211</v>
      </c>
      <c r="F7" s="351">
        <v>1</v>
      </c>
      <c r="G7" s="330">
        <f>IF($D$12&gt;600,"NOT POSSIBLE",IF($D$12&lt;C44,((($D$12/100)^0.5)*C42),C43/1000))</f>
        <v>3.82</v>
      </c>
      <c r="H7" s="329" t="s">
        <v>202</v>
      </c>
      <c r="I7" s="328" t="s">
        <v>213</v>
      </c>
      <c r="J7" s="327"/>
      <c r="K7" s="53"/>
      <c r="L7" s="53"/>
      <c r="M7" s="53"/>
      <c r="N7" s="53"/>
      <c r="O7" s="53"/>
      <c r="P7" s="53"/>
      <c r="Q7" s="53"/>
      <c r="R7" s="95"/>
      <c r="S7" s="66"/>
      <c r="T7" s="287"/>
      <c r="U7" s="66"/>
      <c r="V7" s="66"/>
      <c r="W7" s="66"/>
      <c r="X7" s="66"/>
      <c r="Y7" s="66"/>
      <c r="Z7" s="66"/>
    </row>
    <row r="8" spans="1:44" ht="14.25" thickTop="1" thickBot="1" x14ac:dyDescent="0.25">
      <c r="A8" s="326" t="s">
        <v>207</v>
      </c>
      <c r="B8" s="325"/>
      <c r="C8" s="324"/>
      <c r="D8" s="322" t="s">
        <v>0</v>
      </c>
      <c r="E8" s="323"/>
      <c r="F8" s="322" t="s">
        <v>0</v>
      </c>
      <c r="G8" s="321"/>
      <c r="H8" s="320"/>
      <c r="I8" s="319">
        <f>IF(D9=0,(G7*F7),(G9*F9+G7*F7))</f>
        <v>3.82</v>
      </c>
      <c r="J8" s="318" t="s">
        <v>72</v>
      </c>
      <c r="K8" s="317" t="s">
        <v>202</v>
      </c>
      <c r="L8" s="53"/>
      <c r="M8" s="53"/>
      <c r="N8" s="53"/>
      <c r="O8" s="53"/>
      <c r="P8" s="53"/>
      <c r="Q8" s="53"/>
      <c r="R8" s="95"/>
      <c r="S8" s="66"/>
      <c r="T8" s="287"/>
      <c r="U8" s="66"/>
      <c r="V8" s="66"/>
      <c r="W8" s="66"/>
      <c r="X8" s="66"/>
      <c r="Y8" s="66"/>
      <c r="Z8" s="66"/>
    </row>
    <row r="9" spans="1:44" ht="14.25" thickTop="1" thickBot="1" x14ac:dyDescent="0.25">
      <c r="A9" s="316"/>
      <c r="B9" s="315"/>
      <c r="C9" s="314" t="s">
        <v>208</v>
      </c>
      <c r="D9" s="349"/>
      <c r="E9" s="313" t="s">
        <v>211</v>
      </c>
      <c r="F9" s="352"/>
      <c r="G9" s="312" t="e">
        <f>IF($D$12&gt;600,"NOT POSSIBLE",IF($D$12&lt;C49,((($D$12/100)^0.5)*C47),C48/1000))</f>
        <v>#N/A</v>
      </c>
      <c r="H9" s="311" t="s">
        <v>202</v>
      </c>
      <c r="I9" s="303"/>
      <c r="J9" s="303"/>
      <c r="K9" s="303"/>
      <c r="L9" s="53"/>
      <c r="M9" s="53"/>
      <c r="N9" s="53"/>
      <c r="O9" s="53"/>
      <c r="P9" s="53"/>
      <c r="Q9" s="53"/>
      <c r="R9" s="95"/>
      <c r="S9" s="66"/>
      <c r="T9" s="287"/>
      <c r="U9" s="66"/>
      <c r="X9" s="64"/>
      <c r="Y9" s="53"/>
      <c r="Z9" s="53"/>
    </row>
    <row r="10" spans="1:44" ht="13.5" thickTop="1" x14ac:dyDescent="0.2">
      <c r="A10" s="306"/>
      <c r="B10" s="98"/>
      <c r="C10" s="56"/>
      <c r="D10" s="303"/>
      <c r="E10" s="53"/>
      <c r="F10" s="53"/>
      <c r="G10" s="53"/>
      <c r="H10" s="303"/>
      <c r="I10" s="303"/>
      <c r="J10" s="303"/>
      <c r="K10" s="303"/>
      <c r="L10" s="53"/>
      <c r="M10" s="53"/>
      <c r="N10" s="53"/>
      <c r="O10" s="53"/>
      <c r="P10" s="53"/>
      <c r="Q10" s="53"/>
      <c r="R10" s="95"/>
      <c r="S10" s="66"/>
      <c r="T10" s="287"/>
      <c r="U10" s="66"/>
      <c r="X10" s="64"/>
      <c r="Y10" s="53"/>
      <c r="Z10" s="53"/>
    </row>
    <row r="11" spans="1:44" x14ac:dyDescent="0.2">
      <c r="A11" s="306"/>
      <c r="D11" s="310" t="s">
        <v>0</v>
      </c>
      <c r="E11" s="53"/>
      <c r="F11" s="53"/>
      <c r="G11" s="67"/>
      <c r="H11" s="53"/>
      <c r="I11" s="303"/>
      <c r="J11" s="66"/>
      <c r="K11" s="66"/>
      <c r="L11" s="66"/>
      <c r="M11" s="66"/>
      <c r="N11" s="69"/>
      <c r="O11" s="302"/>
      <c r="P11" s="66"/>
      <c r="Q11" s="66"/>
      <c r="R11" s="95"/>
      <c r="S11" s="66"/>
      <c r="T11" s="287"/>
      <c r="U11" s="66"/>
      <c r="X11" s="64"/>
      <c r="Y11" s="53"/>
      <c r="Z11" s="53"/>
    </row>
    <row r="12" spans="1:44" x14ac:dyDescent="0.2">
      <c r="A12" s="306"/>
      <c r="C12" s="309" t="s">
        <v>209</v>
      </c>
      <c r="D12" s="350">
        <v>16</v>
      </c>
      <c r="E12" s="58" t="s">
        <v>70</v>
      </c>
      <c r="F12" s="308" t="s">
        <v>101</v>
      </c>
      <c r="G12" s="307" t="s">
        <v>102</v>
      </c>
      <c r="H12" s="53"/>
      <c r="I12" s="303"/>
      <c r="J12" s="66"/>
      <c r="K12" s="66"/>
      <c r="L12" s="66"/>
      <c r="M12" s="66"/>
      <c r="N12" s="69"/>
      <c r="O12" s="302"/>
      <c r="P12" s="66"/>
      <c r="Q12" s="66"/>
      <c r="R12" s="95"/>
      <c r="S12" s="66"/>
      <c r="T12" s="287"/>
      <c r="U12" s="66"/>
      <c r="X12" s="64"/>
      <c r="Y12" s="53"/>
      <c r="Z12" s="53"/>
    </row>
    <row r="13" spans="1:44" x14ac:dyDescent="0.2">
      <c r="A13" s="306"/>
      <c r="E13" s="53"/>
      <c r="F13" s="53"/>
      <c r="G13" s="67"/>
      <c r="H13" s="53"/>
      <c r="I13" s="303"/>
      <c r="J13" s="66"/>
      <c r="K13" s="66"/>
      <c r="L13" s="66"/>
      <c r="M13" s="66"/>
      <c r="N13" s="69"/>
      <c r="O13" s="302"/>
      <c r="P13" s="66"/>
      <c r="Q13" s="66"/>
      <c r="R13" s="95"/>
      <c r="S13" s="66"/>
      <c r="T13" s="287"/>
      <c r="U13" s="66"/>
      <c r="V13" s="66"/>
      <c r="W13" s="66"/>
      <c r="X13" s="64"/>
      <c r="Y13" s="53"/>
      <c r="Z13" s="53"/>
    </row>
    <row r="14" spans="1:44" x14ac:dyDescent="0.2">
      <c r="A14" s="306"/>
      <c r="B14" s="96"/>
      <c r="C14" s="305" t="s">
        <v>210</v>
      </c>
      <c r="D14" s="304">
        <f>I8</f>
        <v>3.82</v>
      </c>
      <c r="E14" s="69" t="s">
        <v>202</v>
      </c>
      <c r="F14" s="53"/>
      <c r="G14" s="67"/>
      <c r="H14" s="53"/>
      <c r="I14" s="303"/>
      <c r="J14" s="66"/>
      <c r="K14" s="66"/>
      <c r="L14" s="66"/>
      <c r="M14" s="66"/>
      <c r="N14" s="69"/>
      <c r="O14" s="302"/>
      <c r="P14" s="66"/>
      <c r="Q14" s="66"/>
      <c r="R14" s="95"/>
      <c r="S14" s="66"/>
      <c r="T14" s="287"/>
      <c r="U14" s="66"/>
      <c r="V14" s="66"/>
      <c r="W14" s="66"/>
      <c r="X14" s="64"/>
      <c r="Y14" s="53"/>
      <c r="Z14" s="53"/>
    </row>
    <row r="15" spans="1:44" ht="12.75" customHeight="1" x14ac:dyDescent="0.2">
      <c r="A15" s="57"/>
      <c r="B15" s="53"/>
      <c r="I15" s="269"/>
      <c r="N15" s="53"/>
      <c r="O15" s="53"/>
      <c r="P15" s="53"/>
      <c r="Q15" s="53"/>
      <c r="R15" s="95"/>
      <c r="S15" s="295"/>
      <c r="T15" s="287"/>
      <c r="U15" s="66"/>
      <c r="V15" s="66"/>
      <c r="W15" s="66"/>
      <c r="X15" s="66"/>
      <c r="Y15" s="66"/>
      <c r="Z15" s="66"/>
    </row>
    <row r="16" spans="1:44" ht="12.75" customHeight="1" thickBot="1" x14ac:dyDescent="0.25">
      <c r="A16" s="301"/>
      <c r="B16" s="300"/>
      <c r="N16" s="53"/>
      <c r="O16" s="53"/>
      <c r="P16" s="53"/>
      <c r="Q16" s="53"/>
      <c r="R16" s="95"/>
      <c r="S16" s="295"/>
      <c r="T16" s="287"/>
      <c r="U16" s="66"/>
      <c r="V16" s="66"/>
      <c r="W16" s="66"/>
      <c r="X16" s="66"/>
      <c r="Y16" s="66"/>
      <c r="Z16" s="66"/>
    </row>
    <row r="17" spans="1:34" ht="12.75" customHeight="1" thickTop="1" x14ac:dyDescent="0.2">
      <c r="A17" s="299" t="s">
        <v>74</v>
      </c>
      <c r="B17" s="298" t="s">
        <v>100</v>
      </c>
      <c r="C17" s="297" t="s">
        <v>214</v>
      </c>
      <c r="N17" s="53"/>
      <c r="O17" s="53"/>
      <c r="P17" s="53"/>
      <c r="Q17" s="53"/>
      <c r="R17" s="95"/>
      <c r="S17" s="295"/>
      <c r="T17" s="287"/>
      <c r="U17" s="66"/>
      <c r="V17" s="66"/>
      <c r="W17" s="66"/>
      <c r="X17" s="66"/>
      <c r="Y17" s="66"/>
      <c r="Z17" s="66"/>
      <c r="AC17" s="53"/>
      <c r="AD17" s="53"/>
      <c r="AE17" s="53"/>
      <c r="AF17" s="53"/>
      <c r="AG17" s="53"/>
      <c r="AH17" s="53"/>
    </row>
    <row r="18" spans="1:34" ht="12.75" customHeight="1" x14ac:dyDescent="0.2">
      <c r="A18" s="275" t="s">
        <v>201</v>
      </c>
      <c r="B18" s="296" t="s">
        <v>200</v>
      </c>
      <c r="C18" s="279" t="s">
        <v>215</v>
      </c>
      <c r="N18" s="53"/>
      <c r="O18" s="53"/>
      <c r="P18" s="53"/>
      <c r="Q18" s="53"/>
      <c r="R18" s="95"/>
      <c r="S18" s="295"/>
      <c r="T18" s="287"/>
      <c r="U18" s="66"/>
      <c r="V18" s="66"/>
      <c r="W18" s="66"/>
      <c r="X18" s="66"/>
      <c r="Y18" s="66"/>
      <c r="Z18" s="66"/>
      <c r="AC18" s="53"/>
      <c r="AD18" s="66"/>
      <c r="AE18" s="66"/>
      <c r="AF18" s="66"/>
      <c r="AG18" s="53"/>
      <c r="AH18" s="53"/>
    </row>
    <row r="19" spans="1:34" ht="12.75" customHeight="1" x14ac:dyDescent="0.2">
      <c r="A19" s="275" t="s">
        <v>78</v>
      </c>
      <c r="B19" s="293"/>
      <c r="C19" s="273"/>
      <c r="J19" s="53"/>
      <c r="K19" s="53"/>
      <c r="L19" s="53"/>
      <c r="M19" s="53"/>
      <c r="N19" s="53"/>
      <c r="O19" s="53"/>
      <c r="P19" s="53"/>
      <c r="Q19" s="53"/>
      <c r="R19" s="95"/>
      <c r="S19" s="66"/>
      <c r="T19" s="287"/>
      <c r="U19" s="66"/>
      <c r="V19" s="66"/>
      <c r="W19" s="66"/>
      <c r="X19" s="66"/>
      <c r="Y19" s="66"/>
      <c r="Z19" s="66"/>
      <c r="AC19" s="53"/>
      <c r="AD19" s="66"/>
      <c r="AE19" s="66"/>
      <c r="AF19" s="66"/>
      <c r="AG19" s="53"/>
      <c r="AH19" s="53"/>
    </row>
    <row r="20" spans="1:34" ht="12.75" customHeight="1" x14ac:dyDescent="0.2">
      <c r="A20" s="294"/>
      <c r="B20" s="293"/>
      <c r="C20" s="292"/>
      <c r="D20" s="67"/>
      <c r="E20" s="67"/>
      <c r="F20" s="67"/>
      <c r="G20" s="67"/>
      <c r="H20" s="291"/>
      <c r="I20" s="67"/>
      <c r="J20" s="67"/>
      <c r="K20" s="67"/>
      <c r="L20" s="67"/>
      <c r="M20" s="67"/>
      <c r="N20" s="291"/>
      <c r="O20" s="53"/>
      <c r="P20" s="53"/>
      <c r="Q20" s="53"/>
      <c r="R20" s="95"/>
      <c r="S20" s="66"/>
      <c r="T20" s="287"/>
      <c r="U20" s="66"/>
      <c r="V20" s="66"/>
      <c r="W20" s="66"/>
      <c r="X20" s="66"/>
      <c r="Y20" s="66"/>
      <c r="Z20" s="66"/>
      <c r="AC20" s="53"/>
      <c r="AD20" s="53"/>
      <c r="AE20" s="53"/>
      <c r="AF20" s="53"/>
      <c r="AG20" s="53"/>
      <c r="AH20" s="53"/>
    </row>
    <row r="21" spans="1:34" ht="12.75" customHeight="1" x14ac:dyDescent="0.2">
      <c r="A21" s="278">
        <v>50</v>
      </c>
      <c r="B21" s="277" t="s">
        <v>199</v>
      </c>
      <c r="C21" s="276">
        <v>1</v>
      </c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95"/>
      <c r="S21" s="66"/>
      <c r="T21" s="287"/>
      <c r="U21" s="66"/>
      <c r="V21" s="66"/>
      <c r="W21" s="66"/>
      <c r="X21" s="66"/>
      <c r="Y21" s="66"/>
      <c r="Z21" s="66"/>
    </row>
    <row r="22" spans="1:34" ht="12.75" customHeight="1" x14ac:dyDescent="0.25">
      <c r="A22" s="275">
        <v>65</v>
      </c>
      <c r="B22" s="290" t="s">
        <v>199</v>
      </c>
      <c r="C22" s="279">
        <v>1</v>
      </c>
      <c r="D22" s="53"/>
      <c r="E22" s="53"/>
      <c r="F22" s="53"/>
      <c r="G22" s="53"/>
      <c r="H22" s="53"/>
      <c r="I22" s="53"/>
      <c r="J22" s="53"/>
      <c r="K22" s="53"/>
      <c r="L22" s="280"/>
      <c r="M22" s="289"/>
      <c r="N22" s="289"/>
      <c r="O22" s="289"/>
      <c r="P22" s="289"/>
      <c r="Q22" s="289"/>
      <c r="R22" s="95"/>
      <c r="S22" s="66"/>
      <c r="T22" s="287"/>
      <c r="U22" s="66"/>
      <c r="V22" s="66"/>
      <c r="W22" s="66"/>
      <c r="X22" s="66"/>
      <c r="Y22" s="66"/>
      <c r="Z22" s="66"/>
    </row>
    <row r="23" spans="1:34" ht="14.25" x14ac:dyDescent="0.2">
      <c r="A23" s="278">
        <v>80</v>
      </c>
      <c r="B23" s="277" t="s">
        <v>199</v>
      </c>
      <c r="C23" s="276">
        <v>1</v>
      </c>
      <c r="D23" s="53"/>
      <c r="E23" s="53"/>
      <c r="F23" s="53"/>
      <c r="G23" s="53"/>
      <c r="H23" s="53"/>
      <c r="I23" s="53"/>
      <c r="J23" s="53"/>
      <c r="K23" s="53"/>
      <c r="L23" s="289"/>
      <c r="M23" s="289"/>
      <c r="N23" s="289"/>
      <c r="O23" s="289"/>
      <c r="P23" s="289"/>
      <c r="Q23" s="289"/>
      <c r="R23" s="95"/>
      <c r="S23" s="66"/>
      <c r="T23" s="287"/>
      <c r="U23" s="66"/>
      <c r="V23" s="66"/>
      <c r="W23" s="66"/>
      <c r="X23" s="66"/>
      <c r="Y23" s="66"/>
      <c r="Z23" s="66"/>
    </row>
    <row r="24" spans="1:34" ht="15" x14ac:dyDescent="0.25">
      <c r="A24" s="275">
        <v>100</v>
      </c>
      <c r="B24" s="274" t="s">
        <v>198</v>
      </c>
      <c r="C24" s="279">
        <v>2</v>
      </c>
      <c r="D24" s="53"/>
      <c r="E24" s="53"/>
      <c r="F24" s="53"/>
      <c r="G24" s="53"/>
      <c r="H24" s="53"/>
      <c r="I24" s="53"/>
      <c r="J24" s="53"/>
      <c r="K24" s="53"/>
      <c r="L24" s="281"/>
      <c r="M24" s="281"/>
      <c r="N24" s="280"/>
      <c r="O24" s="280"/>
      <c r="P24" s="280"/>
      <c r="Q24" s="280"/>
      <c r="R24" s="95"/>
      <c r="S24" s="66"/>
      <c r="T24" s="287"/>
      <c r="U24" s="66"/>
      <c r="V24" s="66"/>
      <c r="W24" s="66"/>
      <c r="X24" s="66"/>
      <c r="Y24" s="66"/>
      <c r="Z24" s="66"/>
    </row>
    <row r="25" spans="1:34" ht="15" x14ac:dyDescent="0.25">
      <c r="A25" s="278">
        <v>125</v>
      </c>
      <c r="B25" s="277" t="s">
        <v>197</v>
      </c>
      <c r="C25" s="276">
        <v>3</v>
      </c>
      <c r="D25" s="53"/>
      <c r="E25" s="53"/>
      <c r="F25" s="53"/>
      <c r="G25" s="53"/>
      <c r="H25" s="53"/>
      <c r="I25" s="53"/>
      <c r="J25" s="53"/>
      <c r="K25" s="53"/>
      <c r="L25" s="281"/>
      <c r="M25" s="281"/>
      <c r="N25" s="281"/>
      <c r="O25" s="281"/>
      <c r="P25" s="288"/>
      <c r="Q25" s="280"/>
      <c r="R25" s="95"/>
      <c r="S25" s="66"/>
      <c r="T25" s="287"/>
      <c r="U25" s="66"/>
      <c r="V25" s="66"/>
      <c r="W25" s="66"/>
      <c r="X25" s="66"/>
      <c r="Y25" s="66"/>
      <c r="Z25" s="66"/>
    </row>
    <row r="26" spans="1:34" ht="15" x14ac:dyDescent="0.25">
      <c r="A26" s="275">
        <v>150</v>
      </c>
      <c r="B26" s="274" t="s">
        <v>196</v>
      </c>
      <c r="C26" s="279">
        <v>4</v>
      </c>
      <c r="D26" s="53"/>
      <c r="E26" s="53"/>
      <c r="F26" s="53"/>
      <c r="G26" s="53"/>
      <c r="H26" s="53"/>
      <c r="I26" s="53"/>
      <c r="J26" s="53"/>
      <c r="K26" s="53"/>
      <c r="L26" s="281"/>
      <c r="M26" s="281"/>
      <c r="N26" s="280"/>
      <c r="O26" s="280"/>
      <c r="P26" s="285"/>
      <c r="Q26" s="280"/>
      <c r="R26" s="95"/>
      <c r="S26" s="66"/>
      <c r="T26" s="287"/>
      <c r="U26" s="66"/>
      <c r="V26" s="66"/>
      <c r="W26" s="66"/>
      <c r="X26" s="66"/>
      <c r="Y26" s="66"/>
      <c r="Z26" s="66"/>
    </row>
    <row r="27" spans="1:34" ht="15" x14ac:dyDescent="0.25">
      <c r="A27" s="278">
        <v>200</v>
      </c>
      <c r="B27" s="277" t="s">
        <v>195</v>
      </c>
      <c r="C27" s="276">
        <v>7</v>
      </c>
      <c r="D27" s="53"/>
      <c r="E27" s="53"/>
      <c r="F27" s="53"/>
      <c r="G27" s="53"/>
      <c r="H27" s="53"/>
      <c r="I27" s="53"/>
      <c r="J27" s="53"/>
      <c r="K27" s="53"/>
      <c r="L27" s="281"/>
      <c r="M27" s="281"/>
      <c r="N27" s="280"/>
      <c r="O27" s="280"/>
      <c r="P27" s="286"/>
      <c r="Q27" s="280"/>
      <c r="R27" s="9"/>
    </row>
    <row r="28" spans="1:34" ht="15" x14ac:dyDescent="0.25">
      <c r="A28" s="275">
        <v>250</v>
      </c>
      <c r="B28" s="274" t="s">
        <v>194</v>
      </c>
      <c r="C28" s="279">
        <v>12</v>
      </c>
      <c r="D28" s="53"/>
      <c r="E28" s="53"/>
      <c r="F28" s="53"/>
      <c r="G28" s="53"/>
      <c r="H28" s="53"/>
      <c r="I28" s="53"/>
      <c r="J28" s="53"/>
      <c r="K28" s="53"/>
      <c r="L28" s="281"/>
      <c r="M28" s="281"/>
      <c r="N28" s="280"/>
      <c r="O28" s="280"/>
      <c r="P28" s="280"/>
      <c r="Q28" s="280"/>
      <c r="R28" s="9"/>
    </row>
    <row r="29" spans="1:34" ht="15" x14ac:dyDescent="0.25">
      <c r="A29" s="278">
        <v>300</v>
      </c>
      <c r="B29" s="277" t="s">
        <v>193</v>
      </c>
      <c r="C29" s="276">
        <v>15</v>
      </c>
      <c r="D29" s="53"/>
      <c r="E29" s="53"/>
      <c r="F29" s="53"/>
      <c r="G29" s="53"/>
      <c r="H29" s="53"/>
      <c r="I29" s="53"/>
      <c r="J29" s="53"/>
      <c r="K29" s="53"/>
      <c r="L29" s="285"/>
      <c r="M29" s="281"/>
      <c r="N29" s="284"/>
      <c r="O29" s="280"/>
      <c r="P29" s="283"/>
      <c r="Q29" s="280"/>
      <c r="R29" s="9"/>
    </row>
    <row r="30" spans="1:34" ht="15" x14ac:dyDescent="0.25">
      <c r="A30" s="275">
        <v>350</v>
      </c>
      <c r="B30" s="274" t="s">
        <v>192</v>
      </c>
      <c r="C30" s="279">
        <v>19</v>
      </c>
      <c r="D30" s="53"/>
      <c r="E30" s="53"/>
      <c r="F30" s="53"/>
      <c r="G30" s="53"/>
      <c r="H30" s="53"/>
      <c r="I30" s="53"/>
      <c r="J30" s="53"/>
      <c r="K30" s="53"/>
      <c r="L30" s="285"/>
      <c r="M30" s="281"/>
      <c r="N30" s="284"/>
      <c r="O30" s="280"/>
      <c r="P30" s="283"/>
      <c r="Q30" s="280"/>
      <c r="R30" s="9"/>
    </row>
    <row r="31" spans="1:34" ht="15" x14ac:dyDescent="0.25">
      <c r="A31" s="278">
        <v>400</v>
      </c>
      <c r="B31" s="277" t="s">
        <v>191</v>
      </c>
      <c r="C31" s="276">
        <v>26</v>
      </c>
      <c r="D31" s="53"/>
      <c r="E31" s="53"/>
      <c r="F31" s="53"/>
      <c r="G31" s="53"/>
      <c r="H31" s="53"/>
      <c r="I31" s="53"/>
      <c r="J31" s="53"/>
      <c r="K31" s="53"/>
      <c r="L31" s="282"/>
      <c r="M31" s="281"/>
      <c r="N31" s="280"/>
      <c r="O31" s="280"/>
      <c r="P31" s="280"/>
      <c r="Q31" s="280"/>
      <c r="R31" s="9"/>
    </row>
    <row r="32" spans="1:34" x14ac:dyDescent="0.2">
      <c r="A32" s="275">
        <v>450</v>
      </c>
      <c r="B32" s="274" t="s">
        <v>190</v>
      </c>
      <c r="C32" s="279">
        <v>33</v>
      </c>
      <c r="D32" s="53"/>
      <c r="E32" s="53"/>
      <c r="F32" s="53"/>
      <c r="G32" s="53"/>
      <c r="H32" s="53"/>
      <c r="I32" s="53"/>
      <c r="J32" s="53"/>
      <c r="K32" s="53"/>
      <c r="L32" s="268"/>
      <c r="M32" s="268"/>
      <c r="N32" s="53"/>
      <c r="O32" s="53"/>
      <c r="P32" s="53"/>
      <c r="Q32" s="53"/>
      <c r="R32" s="9"/>
      <c r="S32" s="53"/>
      <c r="T32" s="268"/>
    </row>
    <row r="33" spans="1:20" x14ac:dyDescent="0.2">
      <c r="A33" s="278">
        <v>500</v>
      </c>
      <c r="B33" s="277" t="s">
        <v>189</v>
      </c>
      <c r="C33" s="276">
        <v>40</v>
      </c>
      <c r="D33" s="53"/>
      <c r="E33" s="53"/>
      <c r="F33" s="53"/>
      <c r="G33" s="53"/>
      <c r="H33" s="53"/>
      <c r="I33" s="53"/>
      <c r="J33" s="53"/>
      <c r="K33" s="53"/>
      <c r="L33" s="268"/>
      <c r="M33" s="268"/>
      <c r="N33" s="53"/>
      <c r="O33" s="53"/>
      <c r="P33" s="53"/>
      <c r="Q33" s="53"/>
      <c r="R33" s="9"/>
      <c r="S33" s="53"/>
      <c r="T33" s="268"/>
    </row>
    <row r="34" spans="1:20" x14ac:dyDescent="0.2">
      <c r="A34" s="275">
        <v>600</v>
      </c>
      <c r="B34" s="274" t="s">
        <v>188</v>
      </c>
      <c r="C34" s="273">
        <v>56</v>
      </c>
      <c r="D34" s="53"/>
      <c r="E34" s="53"/>
      <c r="F34" s="53"/>
      <c r="G34" s="53"/>
      <c r="H34" s="53"/>
      <c r="I34" s="53"/>
      <c r="J34" s="53"/>
      <c r="K34" s="53"/>
      <c r="L34" s="268"/>
      <c r="M34" s="268"/>
      <c r="N34" s="53"/>
      <c r="O34" s="53"/>
      <c r="P34" s="53"/>
      <c r="Q34" s="53"/>
      <c r="R34" s="9"/>
      <c r="S34" s="53"/>
      <c r="T34" s="268"/>
    </row>
    <row r="35" spans="1:20" ht="13.5" thickBot="1" x14ac:dyDescent="0.25">
      <c r="A35" s="272">
        <v>800</v>
      </c>
      <c r="B35" s="271" t="s">
        <v>187</v>
      </c>
      <c r="C35" s="270">
        <v>85</v>
      </c>
      <c r="D35" s="53"/>
      <c r="E35" s="53"/>
      <c r="F35" s="53"/>
      <c r="G35" s="53"/>
      <c r="H35" s="53"/>
      <c r="I35" s="53"/>
      <c r="J35" s="53"/>
      <c r="K35" s="53"/>
      <c r="L35" s="268"/>
      <c r="M35" s="268"/>
      <c r="N35" s="53"/>
      <c r="O35" s="53"/>
      <c r="P35" s="53"/>
      <c r="Q35" s="53"/>
      <c r="R35" s="9"/>
      <c r="S35" s="53"/>
      <c r="T35" s="268"/>
    </row>
    <row r="36" spans="1:20" ht="13.5" thickTop="1" x14ac:dyDescent="0.2">
      <c r="D36" s="53"/>
      <c r="E36" s="53"/>
      <c r="F36" s="53"/>
      <c r="G36" s="53"/>
      <c r="H36" s="53"/>
      <c r="I36" s="53"/>
      <c r="J36" s="53"/>
      <c r="K36" s="53"/>
      <c r="L36" s="268"/>
      <c r="M36" s="268"/>
      <c r="N36" s="53"/>
      <c r="O36" s="53"/>
      <c r="P36" s="53"/>
      <c r="Q36" s="53"/>
      <c r="R36" s="9"/>
      <c r="S36" s="53"/>
      <c r="T36" s="268"/>
    </row>
    <row r="37" spans="1:20" x14ac:dyDescent="0.2">
      <c r="A37" s="269" t="s">
        <v>186</v>
      </c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9"/>
      <c r="S37" s="53"/>
      <c r="T37" s="268"/>
    </row>
    <row r="38" spans="1:20" x14ac:dyDescent="0.2"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9"/>
    </row>
    <row r="39" spans="1:20" ht="13.5" thickBot="1" x14ac:dyDescent="0.25">
      <c r="A39" s="267" t="s">
        <v>129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5"/>
    </row>
    <row r="40" spans="1:20" ht="13.5" thickTop="1" x14ac:dyDescent="0.2"/>
    <row r="41" spans="1:20" ht="13.5" hidden="1" thickTop="1" x14ac:dyDescent="0.2">
      <c r="B41" s="266" t="s">
        <v>185</v>
      </c>
      <c r="C41" s="265"/>
      <c r="D41" s="264"/>
    </row>
    <row r="42" spans="1:20" hidden="1" x14ac:dyDescent="0.2">
      <c r="B42" s="103" t="s">
        <v>92</v>
      </c>
      <c r="C42" s="263">
        <f>VLOOKUP($D$7,$B$52:$E$95,2)</f>
        <v>10.594773747901876</v>
      </c>
      <c r="D42" s="104" t="s">
        <v>93</v>
      </c>
    </row>
    <row r="43" spans="1:20" hidden="1" x14ac:dyDescent="0.2">
      <c r="B43" s="103" t="s">
        <v>94</v>
      </c>
      <c r="C43" s="263">
        <f>VLOOKUP($D$7,$B$52:$E$95,3)</f>
        <v>3820</v>
      </c>
      <c r="D43" s="104" t="s">
        <v>72</v>
      </c>
    </row>
    <row r="44" spans="1:20" ht="13.5" hidden="1" thickBot="1" x14ac:dyDescent="0.25">
      <c r="B44" s="106" t="s">
        <v>95</v>
      </c>
      <c r="C44" s="262">
        <f>VLOOKUP($D$7,$B$52:$E$95,4)</f>
        <v>13</v>
      </c>
      <c r="D44" s="107" t="s">
        <v>70</v>
      </c>
    </row>
    <row r="45" spans="1:20" ht="14.25" hidden="1" thickTop="1" thickBot="1" x14ac:dyDescent="0.25">
      <c r="B45" s="67"/>
      <c r="C45" s="261"/>
      <c r="D45" s="67"/>
    </row>
    <row r="46" spans="1:20" ht="13.5" hidden="1" thickTop="1" x14ac:dyDescent="0.2">
      <c r="B46" s="266" t="s">
        <v>185</v>
      </c>
      <c r="C46" s="265"/>
      <c r="D46" s="264"/>
    </row>
    <row r="47" spans="1:20" hidden="1" x14ac:dyDescent="0.2">
      <c r="B47" s="103" t="s">
        <v>92</v>
      </c>
      <c r="C47" s="263" t="e">
        <f>VLOOKUP($D$9,$B$52:$E$95,2)</f>
        <v>#N/A</v>
      </c>
      <c r="D47" s="104" t="s">
        <v>93</v>
      </c>
    </row>
    <row r="48" spans="1:20" hidden="1" x14ac:dyDescent="0.2">
      <c r="B48" s="103" t="s">
        <v>94</v>
      </c>
      <c r="C48" s="263" t="e">
        <f>VLOOKUP($D$9,$B$52:$E$95,3)</f>
        <v>#N/A</v>
      </c>
      <c r="D48" s="104" t="s">
        <v>72</v>
      </c>
    </row>
    <row r="49" spans="2:8" ht="13.5" hidden="1" thickBot="1" x14ac:dyDescent="0.25">
      <c r="B49" s="106" t="s">
        <v>95</v>
      </c>
      <c r="C49" s="262" t="e">
        <f>VLOOKUP($D$9,$B$52:$E$95,4)</f>
        <v>#N/A</v>
      </c>
      <c r="D49" s="107" t="s">
        <v>70</v>
      </c>
    </row>
    <row r="50" spans="2:8" ht="13.5" hidden="1" thickTop="1" x14ac:dyDescent="0.2">
      <c r="B50" s="67"/>
      <c r="C50" s="261"/>
      <c r="D50" s="67"/>
    </row>
    <row r="51" spans="2:8" ht="13.5" hidden="1" thickBot="1" x14ac:dyDescent="0.25"/>
    <row r="52" spans="2:8" ht="13.5" hidden="1" thickTop="1" x14ac:dyDescent="0.2">
      <c r="B52" s="60" t="s">
        <v>97</v>
      </c>
      <c r="C52" s="62" t="s">
        <v>52</v>
      </c>
      <c r="D52" s="62" t="s">
        <v>72</v>
      </c>
      <c r="E52" s="32" t="s">
        <v>50</v>
      </c>
    </row>
    <row r="53" spans="2:8" hidden="1" x14ac:dyDescent="0.2">
      <c r="B53" s="99">
        <v>5255179</v>
      </c>
      <c r="C53" s="259">
        <f>D53/1000/(E53/100)^0.5</f>
        <v>10.594773747901876</v>
      </c>
      <c r="D53" s="260">
        <v>3820</v>
      </c>
      <c r="E53" s="258">
        <v>13</v>
      </c>
      <c r="G53" s="255"/>
      <c r="H53" s="254"/>
    </row>
    <row r="54" spans="2:8" hidden="1" x14ac:dyDescent="0.2">
      <c r="B54" s="99">
        <v>5255184</v>
      </c>
      <c r="C54" s="259">
        <f>D54/1000/(E54/100)^0.5</f>
        <v>10.902632356806878</v>
      </c>
      <c r="D54" s="59">
        <v>3931</v>
      </c>
      <c r="E54" s="258">
        <v>13</v>
      </c>
      <c r="G54" s="255"/>
      <c r="H54" s="254"/>
    </row>
    <row r="55" spans="2:8" hidden="1" x14ac:dyDescent="0.2">
      <c r="B55" s="99">
        <v>5255189</v>
      </c>
      <c r="C55" s="259">
        <f>D55/1000/(E55/100)^0.5</f>
        <v>11.229905472579764</v>
      </c>
      <c r="D55" s="59">
        <v>4049</v>
      </c>
      <c r="E55" s="258">
        <v>13</v>
      </c>
      <c r="G55" s="255"/>
      <c r="H55" s="254"/>
    </row>
    <row r="56" spans="2:8" hidden="1" x14ac:dyDescent="0.2">
      <c r="B56" s="99">
        <v>5255194</v>
      </c>
      <c r="C56" s="259">
        <f>D56/1000/(E56/100)^0.5</f>
        <v>11.645930619748684</v>
      </c>
      <c r="D56" s="59">
        <v>4199</v>
      </c>
      <c r="E56" s="258">
        <v>13</v>
      </c>
      <c r="G56" s="255"/>
      <c r="H56" s="254"/>
    </row>
    <row r="57" spans="2:8" hidden="1" x14ac:dyDescent="0.2">
      <c r="B57" s="99">
        <v>5255200</v>
      </c>
      <c r="C57" s="259">
        <f>D57/1000/(E57/100)^0.5</f>
        <v>12.200630815973915</v>
      </c>
      <c r="D57" s="59">
        <v>4399</v>
      </c>
      <c r="E57" s="258">
        <v>13</v>
      </c>
      <c r="G57" s="255"/>
      <c r="H57" s="254"/>
    </row>
    <row r="58" spans="2:8" hidden="1" x14ac:dyDescent="0.2">
      <c r="B58" s="99">
        <v>5255206</v>
      </c>
      <c r="C58" s="259">
        <f>D58/1000/(E58/100)^0.5</f>
        <v>12.40092162473649</v>
      </c>
      <c r="D58" s="59">
        <v>4640</v>
      </c>
      <c r="E58" s="258">
        <v>14</v>
      </c>
      <c r="G58" s="255"/>
      <c r="H58" s="254"/>
    </row>
    <row r="59" spans="2:8" hidden="1" x14ac:dyDescent="0.2">
      <c r="B59" s="99">
        <v>5255213</v>
      </c>
      <c r="C59" s="259">
        <f>D59/1000/(E59/100)^0.5</f>
        <v>13.23210408708413</v>
      </c>
      <c r="D59" s="59">
        <v>4951</v>
      </c>
      <c r="E59" s="258">
        <v>14</v>
      </c>
      <c r="G59" s="255"/>
      <c r="H59" s="254"/>
    </row>
    <row r="60" spans="2:8" hidden="1" x14ac:dyDescent="0.2">
      <c r="B60" s="99">
        <v>5255220</v>
      </c>
      <c r="C60" s="259">
        <f>D60/1000/(E60/100)^0.5</f>
        <v>14.191571945549732</v>
      </c>
      <c r="D60" s="59">
        <v>5310</v>
      </c>
      <c r="E60" s="258">
        <v>14</v>
      </c>
      <c r="G60" s="255"/>
      <c r="H60" s="254"/>
    </row>
    <row r="61" spans="2:8" hidden="1" x14ac:dyDescent="0.2">
      <c r="B61" s="99">
        <v>5255227</v>
      </c>
      <c r="C61" s="259">
        <f>D61/1000/(E61/100)^0.5</f>
        <v>15.233890789008189</v>
      </c>
      <c r="D61" s="59">
        <v>5700</v>
      </c>
      <c r="E61" s="258">
        <v>14</v>
      </c>
      <c r="G61" s="255"/>
      <c r="H61" s="254"/>
    </row>
    <row r="62" spans="2:8" hidden="1" x14ac:dyDescent="0.2">
      <c r="B62" s="99">
        <v>5255235</v>
      </c>
      <c r="C62" s="259">
        <f>D62/1000/(E62/100)^0.5</f>
        <v>16.594250510342427</v>
      </c>
      <c r="D62" s="59">
        <v>6209</v>
      </c>
      <c r="E62" s="258">
        <v>14</v>
      </c>
      <c r="G62" s="255"/>
      <c r="H62" s="254"/>
    </row>
    <row r="63" spans="2:8" hidden="1" x14ac:dyDescent="0.2">
      <c r="B63" s="99">
        <v>5255243</v>
      </c>
      <c r="C63" s="259">
        <f>D63/1000/(E63/100)^0.5</f>
        <v>17.401379460917951</v>
      </c>
      <c r="D63" s="59">
        <v>6511</v>
      </c>
      <c r="E63" s="258">
        <v>14</v>
      </c>
      <c r="G63" s="255"/>
      <c r="H63" s="254"/>
    </row>
    <row r="64" spans="2:8" hidden="1" x14ac:dyDescent="0.2">
      <c r="B64" s="99">
        <v>5255251</v>
      </c>
      <c r="C64" s="259">
        <f>D64/1000/(E64/100)^0.5</f>
        <v>18.924768539818771</v>
      </c>
      <c r="D64" s="59">
        <v>7081</v>
      </c>
      <c r="E64" s="258">
        <v>14</v>
      </c>
      <c r="G64" s="255"/>
      <c r="H64" s="254"/>
    </row>
    <row r="65" spans="2:8" hidden="1" x14ac:dyDescent="0.2">
      <c r="B65" s="99">
        <v>5255260</v>
      </c>
      <c r="C65" s="259">
        <f>D65/1000/(E65/100)^0.5</f>
        <v>20.400294278923198</v>
      </c>
      <c r="D65" s="59">
        <v>7901</v>
      </c>
      <c r="E65" s="258">
        <v>15</v>
      </c>
      <c r="G65" s="255"/>
      <c r="H65" s="254"/>
    </row>
    <row r="66" spans="2:8" hidden="1" x14ac:dyDescent="0.2">
      <c r="B66" s="99">
        <v>5255269</v>
      </c>
      <c r="C66" s="259">
        <f>D66/1000/(E66/100)^0.5</f>
        <v>22.25</v>
      </c>
      <c r="D66" s="59">
        <v>8900</v>
      </c>
      <c r="E66" s="258">
        <v>16</v>
      </c>
      <c r="G66" s="255"/>
      <c r="H66" s="254"/>
    </row>
    <row r="67" spans="2:8" hidden="1" x14ac:dyDescent="0.2">
      <c r="B67" s="99">
        <v>5255279</v>
      </c>
      <c r="C67" s="259">
        <f>D67/1000/(E67/100)^0.5</f>
        <v>23.856942165199719</v>
      </c>
      <c r="D67" s="59">
        <v>10399</v>
      </c>
      <c r="E67" s="258">
        <v>19</v>
      </c>
      <c r="G67" s="255"/>
      <c r="H67" s="254"/>
    </row>
    <row r="68" spans="2:8" hidden="1" x14ac:dyDescent="0.2">
      <c r="B68" s="99">
        <v>5255287</v>
      </c>
      <c r="C68" s="259">
        <f>D68/1000/(E68/100)^0.5</f>
        <v>24.208941342179564</v>
      </c>
      <c r="D68" s="59">
        <v>11355</v>
      </c>
      <c r="E68" s="258">
        <v>22</v>
      </c>
      <c r="G68" s="255"/>
      <c r="H68" s="254"/>
    </row>
    <row r="69" spans="2:8" hidden="1" x14ac:dyDescent="0.2">
      <c r="B69" s="99">
        <v>5255292</v>
      </c>
      <c r="C69" s="259">
        <f>D69/1000/(E69/100)^0.5</f>
        <v>26.045535459869207</v>
      </c>
      <c r="D69" s="59">
        <v>12491</v>
      </c>
      <c r="E69" s="258">
        <v>23</v>
      </c>
      <c r="G69" s="255"/>
      <c r="H69" s="254"/>
    </row>
    <row r="70" spans="2:8" hidden="1" x14ac:dyDescent="0.2">
      <c r="B70" s="99">
        <v>5255298</v>
      </c>
      <c r="C70" s="259">
        <f>D70/1000/(E70/100)^0.5</f>
        <v>27.350594219626501</v>
      </c>
      <c r="D70" s="59">
        <v>13399</v>
      </c>
      <c r="E70" s="258">
        <v>24</v>
      </c>
      <c r="G70" s="255"/>
      <c r="H70" s="254"/>
    </row>
    <row r="71" spans="2:8" hidden="1" x14ac:dyDescent="0.2">
      <c r="B71" s="99">
        <v>5255303</v>
      </c>
      <c r="C71" s="259">
        <f>D71/1000/(E71/100)^0.5</f>
        <v>28.409482245924181</v>
      </c>
      <c r="D71" s="59">
        <v>14762</v>
      </c>
      <c r="E71" s="258">
        <v>27</v>
      </c>
      <c r="G71" s="255"/>
      <c r="H71" s="254"/>
    </row>
    <row r="72" spans="2:8" hidden="1" x14ac:dyDescent="0.2">
      <c r="B72" s="99">
        <v>5255308</v>
      </c>
      <c r="C72" s="259">
        <f>D72/1000/(E72/100)^0.5</f>
        <v>29.709397154946529</v>
      </c>
      <c r="D72" s="59">
        <v>15999</v>
      </c>
      <c r="E72" s="258">
        <v>29</v>
      </c>
      <c r="G72" s="255"/>
      <c r="H72" s="254"/>
    </row>
    <row r="73" spans="2:8" hidden="1" x14ac:dyDescent="0.2">
      <c r="B73" s="99">
        <v>5266285</v>
      </c>
      <c r="C73" s="259">
        <f>D73/1000/(E73/100)^0.5</f>
        <v>29.218213950729226</v>
      </c>
      <c r="D73" s="59">
        <v>17037</v>
      </c>
      <c r="E73" s="258">
        <v>34</v>
      </c>
      <c r="G73" s="255"/>
      <c r="H73" s="254"/>
    </row>
    <row r="74" spans="2:8" hidden="1" x14ac:dyDescent="0.2">
      <c r="B74" s="99">
        <v>5266292</v>
      </c>
      <c r="C74" s="259">
        <f>D74/1000/(E74/100)^0.5</f>
        <v>31.123563231662501</v>
      </c>
      <c r="D74" s="59">
        <v>18148</v>
      </c>
      <c r="E74" s="258">
        <v>34</v>
      </c>
      <c r="G74" s="255"/>
      <c r="H74" s="254"/>
    </row>
    <row r="75" spans="2:8" hidden="1" x14ac:dyDescent="0.2">
      <c r="B75" s="99">
        <v>5266301</v>
      </c>
      <c r="C75" s="259">
        <f>D75/1000/(E75/100)^0.5</f>
        <v>31.772729052263855</v>
      </c>
      <c r="D75" s="59">
        <v>18797</v>
      </c>
      <c r="E75" s="258">
        <v>35</v>
      </c>
      <c r="G75" s="255"/>
      <c r="H75" s="254"/>
    </row>
    <row r="76" spans="2:8" hidden="1" x14ac:dyDescent="0.2">
      <c r="B76" s="99">
        <v>5266305</v>
      </c>
      <c r="C76" s="259">
        <f>D76/1000/(E76/100)^0.5</f>
        <v>32.90523575360006</v>
      </c>
      <c r="D76" s="59">
        <v>19467</v>
      </c>
      <c r="E76" s="258">
        <v>35</v>
      </c>
      <c r="G76" s="255"/>
      <c r="H76" s="254"/>
    </row>
    <row r="77" spans="2:8" hidden="1" x14ac:dyDescent="0.2">
      <c r="B77" s="99">
        <v>5266312</v>
      </c>
      <c r="C77" s="259">
        <f>D77/1000/(E77/100)^0.5</f>
        <v>34.590473337528728</v>
      </c>
      <c r="D77" s="59">
        <v>20464</v>
      </c>
      <c r="E77" s="258">
        <v>35</v>
      </c>
      <c r="G77" s="255"/>
      <c r="H77" s="254"/>
    </row>
    <row r="78" spans="2:8" hidden="1" x14ac:dyDescent="0.2">
      <c r="B78" s="99">
        <v>5266319</v>
      </c>
      <c r="C78" s="259">
        <f>D78/1000/(E78/100)^0.5</f>
        <v>35.878333333333337</v>
      </c>
      <c r="D78" s="59">
        <v>21527</v>
      </c>
      <c r="E78" s="258">
        <v>36</v>
      </c>
      <c r="G78" s="255"/>
      <c r="H78" s="254"/>
    </row>
    <row r="79" spans="2:8" hidden="1" x14ac:dyDescent="0.2">
      <c r="B79" s="99">
        <v>5266326</v>
      </c>
      <c r="C79" s="259">
        <f>D79/1000/(E79/100)^0.5</f>
        <v>37.415000000000006</v>
      </c>
      <c r="D79" s="59">
        <v>22449</v>
      </c>
      <c r="E79" s="258">
        <v>36</v>
      </c>
      <c r="G79" s="255"/>
      <c r="H79" s="254"/>
    </row>
    <row r="80" spans="2:8" hidden="1" x14ac:dyDescent="0.2">
      <c r="B80" s="99">
        <v>5266332</v>
      </c>
      <c r="C80" s="259">
        <f>D80/1000/(E80/100)^0.5</f>
        <v>39.13666666666667</v>
      </c>
      <c r="D80" s="59">
        <v>23482</v>
      </c>
      <c r="E80" s="258">
        <v>36</v>
      </c>
      <c r="G80" s="255"/>
      <c r="H80" s="254"/>
    </row>
    <row r="81" spans="2:8" hidden="1" x14ac:dyDescent="0.2">
      <c r="B81" s="99">
        <v>5266338</v>
      </c>
      <c r="C81" s="259">
        <f>D81/1000/(E81/100)^0.5</f>
        <v>40.328715575877197</v>
      </c>
      <c r="D81" s="59">
        <v>24531</v>
      </c>
      <c r="E81" s="258">
        <v>37</v>
      </c>
      <c r="G81" s="255"/>
      <c r="H81" s="254"/>
    </row>
    <row r="82" spans="2:8" hidden="1" x14ac:dyDescent="0.2">
      <c r="B82" s="99">
        <v>5266344</v>
      </c>
      <c r="C82" s="259">
        <f>D82/1000/(E82/100)^0.5</f>
        <v>41.562750307912665</v>
      </c>
      <c r="D82" s="59">
        <v>25621</v>
      </c>
      <c r="E82" s="258">
        <v>38</v>
      </c>
      <c r="G82" s="255"/>
      <c r="H82" s="254"/>
    </row>
    <row r="83" spans="2:8" hidden="1" x14ac:dyDescent="0.2">
      <c r="B83" s="99">
        <v>5266349</v>
      </c>
      <c r="C83" s="259">
        <f>D83/1000/(E83/100)^0.5</f>
        <v>43.034098597568686</v>
      </c>
      <c r="D83" s="59">
        <v>26528</v>
      </c>
      <c r="E83" s="258">
        <v>38</v>
      </c>
      <c r="G83" s="255"/>
      <c r="H83" s="254"/>
    </row>
    <row r="84" spans="2:8" hidden="1" x14ac:dyDescent="0.2">
      <c r="B84" s="99">
        <v>5266356</v>
      </c>
      <c r="C84" s="259">
        <f>D84/1000/(E84/100)^0.5</f>
        <v>44.912622654262918</v>
      </c>
      <c r="D84" s="59">
        <v>27686</v>
      </c>
      <c r="E84" s="258">
        <v>38</v>
      </c>
      <c r="G84" s="255"/>
      <c r="H84" s="254"/>
    </row>
    <row r="85" spans="2:8" hidden="1" x14ac:dyDescent="0.2">
      <c r="B85" s="99">
        <v>5266362</v>
      </c>
      <c r="C85" s="259">
        <f>D85/1000/(E85/100)^0.5</f>
        <v>47.298899759096436</v>
      </c>
      <c r="D85" s="59">
        <v>29157</v>
      </c>
      <c r="E85" s="258">
        <v>38</v>
      </c>
      <c r="G85" s="255"/>
      <c r="H85" s="254"/>
    </row>
    <row r="86" spans="2:8" hidden="1" x14ac:dyDescent="0.2">
      <c r="B86" s="99">
        <v>5266367</v>
      </c>
      <c r="C86" s="259">
        <f>D86/1000/(E86/100)^0.5</f>
        <v>47.964787190775802</v>
      </c>
      <c r="D86" s="59">
        <v>29954</v>
      </c>
      <c r="E86" s="258">
        <v>39</v>
      </c>
      <c r="G86" s="255"/>
      <c r="H86" s="254"/>
    </row>
    <row r="87" spans="2:8" hidden="1" x14ac:dyDescent="0.2">
      <c r="B87" s="99">
        <v>5266373</v>
      </c>
      <c r="C87" s="259">
        <f>D87/1000/(E87/100)^0.5</f>
        <v>49.601296922663785</v>
      </c>
      <c r="D87" s="59">
        <v>30976</v>
      </c>
      <c r="E87" s="258">
        <v>39</v>
      </c>
      <c r="G87" s="255"/>
      <c r="H87" s="254"/>
    </row>
    <row r="88" spans="2:8" hidden="1" x14ac:dyDescent="0.2">
      <c r="B88" s="99">
        <v>5266379</v>
      </c>
      <c r="C88" s="259">
        <f>D88/1000/(E88/100)^0.5</f>
        <v>51.007538658515955</v>
      </c>
      <c r="D88" s="59">
        <v>32260</v>
      </c>
      <c r="E88" s="258">
        <v>40</v>
      </c>
      <c r="G88" s="255"/>
      <c r="H88" s="254"/>
    </row>
    <row r="89" spans="2:8" hidden="1" x14ac:dyDescent="0.2">
      <c r="B89" s="99">
        <v>5266385</v>
      </c>
      <c r="C89" s="259">
        <f>D89/1000/(E89/100)^0.5</f>
        <v>53.07092483177582</v>
      </c>
      <c r="D89" s="59">
        <v>33565</v>
      </c>
      <c r="E89" s="258">
        <v>40</v>
      </c>
      <c r="G89" s="255"/>
      <c r="H89" s="254"/>
    </row>
    <row r="90" spans="2:8" hidden="1" x14ac:dyDescent="0.2">
      <c r="B90" s="99">
        <v>5266391</v>
      </c>
      <c r="C90" s="259">
        <f>D90/1000/(E90/100)^0.5</f>
        <v>55.265545527932687</v>
      </c>
      <c r="D90" s="59">
        <v>34953</v>
      </c>
      <c r="E90" s="258">
        <v>40</v>
      </c>
      <c r="G90" s="255"/>
      <c r="H90" s="254"/>
    </row>
    <row r="91" spans="2:8" hidden="1" x14ac:dyDescent="0.2">
      <c r="B91" s="99">
        <v>5266393</v>
      </c>
      <c r="C91" s="259">
        <f>D91/1000/(E91/100)^0.5</f>
        <v>56.067665242225722</v>
      </c>
      <c r="D91" s="59">
        <v>36336</v>
      </c>
      <c r="E91" s="258">
        <v>42</v>
      </c>
      <c r="G91" s="255"/>
      <c r="H91" s="254"/>
    </row>
    <row r="92" spans="2:8" hidden="1" x14ac:dyDescent="0.2">
      <c r="B92" s="99">
        <v>5266398</v>
      </c>
      <c r="C92" s="259">
        <f>D92/1000/(E92/100)^0.5</f>
        <v>57.46908622984207</v>
      </c>
      <c r="D92" s="59">
        <v>37685</v>
      </c>
      <c r="E92" s="258">
        <v>43</v>
      </c>
      <c r="G92" s="255"/>
      <c r="H92" s="254"/>
    </row>
    <row r="93" spans="2:8" hidden="1" x14ac:dyDescent="0.2">
      <c r="B93" s="99">
        <v>5266400</v>
      </c>
      <c r="C93" s="259">
        <f>D93/1000/(E93/100)^0.5</f>
        <v>58.202242400568601</v>
      </c>
      <c r="D93" s="59">
        <v>38607</v>
      </c>
      <c r="E93" s="258">
        <v>44</v>
      </c>
      <c r="G93" s="255"/>
      <c r="H93" s="254"/>
    </row>
    <row r="94" spans="2:8" hidden="1" x14ac:dyDescent="0.2">
      <c r="B94" s="99">
        <v>5266407</v>
      </c>
      <c r="C94" s="259">
        <f>D94/1000/(E94/100)^0.5</f>
        <v>60.408443856222902</v>
      </c>
      <c r="D94" s="59">
        <v>40971</v>
      </c>
      <c r="E94" s="258">
        <v>46</v>
      </c>
      <c r="G94" s="255"/>
      <c r="H94" s="254"/>
    </row>
    <row r="95" spans="2:8" ht="13.5" hidden="1" thickBot="1" x14ac:dyDescent="0.25">
      <c r="B95" s="100" t="s">
        <v>216</v>
      </c>
      <c r="C95" s="257">
        <f>D95/1000/(E95/100)^0.5</f>
        <v>64.285714285714292</v>
      </c>
      <c r="D95" s="63">
        <v>45000</v>
      </c>
      <c r="E95" s="256">
        <v>49</v>
      </c>
      <c r="G95" s="255"/>
      <c r="H95" s="254"/>
    </row>
  </sheetData>
  <sheetProtection password="EF28" sheet="1" objects="1" scenarios="1"/>
  <mergeCells count="13">
    <mergeCell ref="B41:D41"/>
    <mergeCell ref="B46:D46"/>
    <mergeCell ref="B6:D6"/>
    <mergeCell ref="E6:F6"/>
    <mergeCell ref="G6:H6"/>
    <mergeCell ref="G8:H8"/>
    <mergeCell ref="I8:J8"/>
    <mergeCell ref="I7:J7"/>
    <mergeCell ref="A2:R2"/>
    <mergeCell ref="A8:A9"/>
    <mergeCell ref="A6:A7"/>
    <mergeCell ref="B8:C8"/>
    <mergeCell ref="B1:R1"/>
  </mergeCells>
  <conditionalFormatting sqref="G12">
    <cfRule type="containsText" dxfId="5" priority="2" operator="containsText" text="Qutside DP-range">
      <formula>NOT(ISERROR(SEARCH("Qutside DP-range",G12)))</formula>
    </cfRule>
    <cfRule type="cellIs" dxfId="4" priority="3" operator="equal">
      <formula>"Outside DP-range"</formula>
    </cfRule>
    <cfRule type="cellIs" dxfId="3" priority="4" operator="equal">
      <formula>"Outside DP-range"</formula>
    </cfRule>
    <cfRule type="cellIs" dxfId="2" priority="6" operator="equal">
      <formula>"Under DP område"</formula>
    </cfRule>
  </conditionalFormatting>
  <conditionalFormatting sqref="F12">
    <cfRule type="cellIs" dxfId="1" priority="5" operator="lessThan">
      <formula>$C$36</formula>
    </cfRule>
  </conditionalFormatting>
  <conditionalFormatting sqref="D12">
    <cfRule type="cellIs" dxfId="0" priority="1" operator="lessThan">
      <formula>$C$44</formula>
    </cfRule>
  </conditionalFormatting>
  <pageMargins left="0.19685039370078741" right="0.19685039370078741" top="0.59055118110236227" bottom="0.19685039370078741" header="0.51181102362204722" footer="0.51181102362204722"/>
  <pageSetup paperSize="9" scale="9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</vt:i4>
      </vt:variant>
    </vt:vector>
  </HeadingPairs>
  <TitlesOfParts>
    <vt:vector size="7" baseType="lpstr">
      <vt:lpstr>VFL OPTIMA COMPACT</vt:lpstr>
      <vt:lpstr>VFL OPTIMA</vt:lpstr>
      <vt:lpstr>VFL OPTIMA Flange </vt:lpstr>
      <vt:lpstr>VAD</vt:lpstr>
      <vt:lpstr>VAD Flange</vt:lpstr>
      <vt:lpstr>'VFL OPTIMA'!Zone_d_impression</vt:lpstr>
      <vt:lpstr>'VFL OPTIMA Flange '!Zone_d_impression</vt:lpstr>
    </vt:vector>
  </TitlesOfParts>
  <Company>Frese A/S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Johansen</dc:creator>
  <cp:lastModifiedBy>Fabien Cheret</cp:lastModifiedBy>
  <cp:lastPrinted>2012-12-18T13:04:46Z</cp:lastPrinted>
  <dcterms:created xsi:type="dcterms:W3CDTF">2004-11-24T15:05:14Z</dcterms:created>
  <dcterms:modified xsi:type="dcterms:W3CDTF">2016-09-08T13:32:31Z</dcterms:modified>
</cp:coreProperties>
</file>