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5570" windowHeight="9585"/>
  </bookViews>
  <sheets>
    <sheet name="VFL OPTIMA Compact" sheetId="12" r:id="rId1"/>
    <sheet name="VFL OPTIMA" sheetId="9" r:id="rId2"/>
    <sheet name="Frese OPTIMA Flanged" sheetId="15" r:id="rId3"/>
    <sheet name="VAD DN 15-50" sheetId="13" r:id="rId4"/>
    <sheet name="VAD DN 50-800" sheetId="14" r:id="rId5"/>
    <sheet name="Rapport sur la compatibilité" sheetId="16" r:id="rId6"/>
  </sheets>
  <definedNames>
    <definedName name="_xlnm.Print_Area" localSheetId="2">'Frese OPTIMA Flanged'!$A$1:$L$37</definedName>
    <definedName name="_xlnm.Print_Area" localSheetId="1">'VFL OPTIMA'!$A$1:$M$36</definedName>
    <definedName name="_xlnm.Print_Area" localSheetId="0">'VFL OPTIMA Compact'!$A$1:$N$42</definedName>
  </definedNames>
  <calcPr calcId="145621"/>
</workbook>
</file>

<file path=xl/calcChain.xml><?xml version="1.0" encoding="utf-8"?>
<calcChain xmlns="http://schemas.openxmlformats.org/spreadsheetml/2006/main">
  <c r="L54" i="15" l="1"/>
  <c r="K54" i="15"/>
  <c r="F25" i="15"/>
  <c r="L53" i="15"/>
  <c r="K53" i="15"/>
  <c r="F24" i="15"/>
  <c r="L52" i="15"/>
  <c r="K52" i="15"/>
  <c r="G23" i="15"/>
  <c r="L51" i="15"/>
  <c r="K51" i="15"/>
  <c r="G22" i="15"/>
  <c r="M53" i="12"/>
  <c r="I18" i="12"/>
  <c r="M56" i="12"/>
  <c r="I21" i="12"/>
  <c r="H21" i="12"/>
  <c r="M57" i="12"/>
  <c r="H22" i="12"/>
  <c r="I22" i="12"/>
  <c r="M58" i="12"/>
  <c r="H23" i="12"/>
  <c r="I23" i="12"/>
  <c r="M59" i="12"/>
  <c r="H24" i="12"/>
  <c r="I24" i="12"/>
  <c r="M60" i="12"/>
  <c r="H25" i="12"/>
  <c r="M61" i="12"/>
  <c r="I26" i="12"/>
  <c r="M62" i="12"/>
  <c r="I27" i="12"/>
  <c r="M49" i="12"/>
  <c r="I14" i="12"/>
  <c r="M50" i="12"/>
  <c r="I15" i="12"/>
  <c r="M51" i="12"/>
  <c r="I16" i="12"/>
  <c r="M52" i="12"/>
  <c r="I17" i="12"/>
  <c r="M54" i="12"/>
  <c r="H19" i="12"/>
  <c r="I19" i="12"/>
  <c r="M55" i="12"/>
  <c r="I20" i="12"/>
  <c r="M48" i="12"/>
  <c r="I13" i="12"/>
  <c r="K49" i="15"/>
  <c r="F20" i="15"/>
  <c r="L49" i="15"/>
  <c r="K50" i="15"/>
  <c r="G21" i="15"/>
  <c r="L50" i="15"/>
  <c r="L48" i="15"/>
  <c r="K48" i="15"/>
  <c r="F19" i="15"/>
  <c r="L47" i="15"/>
  <c r="K47" i="15"/>
  <c r="G18" i="15"/>
  <c r="L46" i="15"/>
  <c r="K46" i="15"/>
  <c r="F17" i="15"/>
  <c r="L45" i="15"/>
  <c r="K45" i="15"/>
  <c r="F16" i="15"/>
  <c r="L44" i="15"/>
  <c r="K44" i="15"/>
  <c r="G15" i="15"/>
  <c r="L43" i="15"/>
  <c r="K43" i="15"/>
  <c r="G14" i="15"/>
  <c r="F14" i="15"/>
  <c r="D21" i="14"/>
  <c r="K41" i="13"/>
  <c r="J41" i="13"/>
  <c r="I100" i="14"/>
  <c r="H100" i="14"/>
  <c r="G100" i="14"/>
  <c r="M36" i="14"/>
  <c r="M37" i="14"/>
  <c r="M38" i="14"/>
  <c r="M39" i="14"/>
  <c r="M40" i="14"/>
  <c r="M41" i="14"/>
  <c r="M42" i="14"/>
  <c r="M43" i="14"/>
  <c r="M44" i="14"/>
  <c r="M45" i="14"/>
  <c r="M46" i="14"/>
  <c r="M47" i="14"/>
  <c r="I99" i="14"/>
  <c r="H99" i="14"/>
  <c r="G99" i="14"/>
  <c r="I98" i="14"/>
  <c r="H98" i="14"/>
  <c r="G98" i="14"/>
  <c r="I97" i="14"/>
  <c r="H97" i="14"/>
  <c r="G97" i="14"/>
  <c r="I96" i="14"/>
  <c r="H96" i="14"/>
  <c r="G96" i="14"/>
  <c r="I95" i="14"/>
  <c r="H95" i="14"/>
  <c r="G95" i="14"/>
  <c r="I94" i="14"/>
  <c r="H94" i="14"/>
  <c r="G94" i="14"/>
  <c r="I93" i="14"/>
  <c r="H93" i="14"/>
  <c r="G93" i="14"/>
  <c r="I92" i="14"/>
  <c r="H92" i="14"/>
  <c r="G92" i="14"/>
  <c r="I91" i="14"/>
  <c r="H91" i="14"/>
  <c r="G91" i="14"/>
  <c r="I90" i="14"/>
  <c r="H90" i="14"/>
  <c r="G90" i="14"/>
  <c r="I89" i="14"/>
  <c r="H89" i="14"/>
  <c r="G89" i="14"/>
  <c r="I88" i="14"/>
  <c r="H88" i="14"/>
  <c r="G88" i="14"/>
  <c r="I87" i="14"/>
  <c r="H87" i="14"/>
  <c r="G87" i="14"/>
  <c r="I86" i="14"/>
  <c r="H86" i="14"/>
  <c r="G86" i="14"/>
  <c r="I85" i="14"/>
  <c r="H85" i="14"/>
  <c r="G85" i="14"/>
  <c r="I84" i="14"/>
  <c r="H84" i="14"/>
  <c r="G84" i="14"/>
  <c r="I83" i="14"/>
  <c r="H83" i="14"/>
  <c r="G83" i="14"/>
  <c r="I82" i="14"/>
  <c r="H82" i="14"/>
  <c r="G82" i="14"/>
  <c r="I81" i="14"/>
  <c r="H81" i="14"/>
  <c r="G81" i="14"/>
  <c r="I80" i="14"/>
  <c r="H80" i="14"/>
  <c r="G80" i="14"/>
  <c r="I79" i="14"/>
  <c r="H79" i="14"/>
  <c r="G79" i="14"/>
  <c r="I78" i="14"/>
  <c r="H78" i="14"/>
  <c r="G78" i="14"/>
  <c r="I77" i="14"/>
  <c r="H77" i="14"/>
  <c r="G77" i="14"/>
  <c r="I76" i="14"/>
  <c r="H76" i="14"/>
  <c r="G76" i="14"/>
  <c r="I75" i="14"/>
  <c r="H75" i="14"/>
  <c r="G75" i="14"/>
  <c r="I74" i="14"/>
  <c r="H74" i="14"/>
  <c r="G74" i="14"/>
  <c r="I73" i="14"/>
  <c r="H73" i="14"/>
  <c r="G73" i="14"/>
  <c r="I72" i="14"/>
  <c r="H72" i="14"/>
  <c r="G72" i="14"/>
  <c r="I71" i="14"/>
  <c r="H71" i="14"/>
  <c r="G71" i="14"/>
  <c r="I70" i="14"/>
  <c r="H70" i="14"/>
  <c r="G70" i="14"/>
  <c r="I69" i="14"/>
  <c r="H69" i="14"/>
  <c r="G69" i="14"/>
  <c r="I68" i="14"/>
  <c r="H68" i="14"/>
  <c r="G68" i="14"/>
  <c r="I67" i="14"/>
  <c r="H67" i="14"/>
  <c r="G67" i="14"/>
  <c r="I66" i="14"/>
  <c r="H66" i="14"/>
  <c r="G66" i="14"/>
  <c r="I65" i="14"/>
  <c r="H65" i="14"/>
  <c r="G65" i="14"/>
  <c r="I64" i="14"/>
  <c r="H64" i="14"/>
  <c r="G64" i="14"/>
  <c r="I63" i="14"/>
  <c r="H63" i="14"/>
  <c r="G63" i="14"/>
  <c r="I62" i="14"/>
  <c r="H62" i="14"/>
  <c r="G62" i="14"/>
  <c r="I61" i="14"/>
  <c r="H61" i="14"/>
  <c r="G61" i="14"/>
  <c r="I60" i="14"/>
  <c r="H60" i="14"/>
  <c r="G60" i="14"/>
  <c r="I59" i="14"/>
  <c r="H59" i="14"/>
  <c r="G59" i="14"/>
  <c r="I58" i="14"/>
  <c r="H58" i="14"/>
  <c r="G58" i="14"/>
  <c r="I57" i="14"/>
  <c r="H57" i="14"/>
  <c r="G57" i="14"/>
  <c r="G56" i="14"/>
  <c r="K36" i="14"/>
  <c r="N36" i="14"/>
  <c r="O9" i="14"/>
  <c r="G36" i="14"/>
  <c r="G37" i="14"/>
  <c r="G38" i="14"/>
  <c r="G39" i="14"/>
  <c r="G40" i="14"/>
  <c r="G41" i="14"/>
  <c r="G42" i="14"/>
  <c r="G43" i="14"/>
  <c r="G44" i="14"/>
  <c r="G45" i="14"/>
  <c r="G46" i="14"/>
  <c r="G47" i="14"/>
  <c r="F36" i="14"/>
  <c r="F37" i="14"/>
  <c r="F38" i="14"/>
  <c r="F39" i="14"/>
  <c r="F40" i="14"/>
  <c r="F41" i="14"/>
  <c r="F42" i="14"/>
  <c r="F43" i="14"/>
  <c r="F44" i="14"/>
  <c r="F45" i="14"/>
  <c r="F46" i="14"/>
  <c r="F47" i="14"/>
  <c r="E36" i="14"/>
  <c r="E37" i="14"/>
  <c r="E38" i="14"/>
  <c r="E39" i="14"/>
  <c r="E40" i="14"/>
  <c r="E41" i="14"/>
  <c r="E42" i="14"/>
  <c r="E43" i="14"/>
  <c r="E44" i="14"/>
  <c r="E45" i="14"/>
  <c r="E46" i="14"/>
  <c r="E47" i="14"/>
  <c r="D36" i="14"/>
  <c r="H36" i="14"/>
  <c r="K35" i="14"/>
  <c r="G35" i="14"/>
  <c r="F35" i="14"/>
  <c r="E35" i="14"/>
  <c r="D35" i="14"/>
  <c r="H35" i="14"/>
  <c r="M34" i="14"/>
  <c r="I34" i="14"/>
  <c r="R34" i="14"/>
  <c r="K34" i="14"/>
  <c r="G34" i="14"/>
  <c r="F34" i="14"/>
  <c r="E34" i="14"/>
  <c r="D34" i="14"/>
  <c r="H34" i="14"/>
  <c r="M33" i="14"/>
  <c r="O33" i="14"/>
  <c r="K33" i="14"/>
  <c r="G33" i="14"/>
  <c r="K60" i="14"/>
  <c r="F33" i="14"/>
  <c r="K59" i="14"/>
  <c r="E33" i="14"/>
  <c r="K58" i="14"/>
  <c r="D33" i="14"/>
  <c r="H33" i="14"/>
  <c r="D19" i="14"/>
  <c r="K44" i="13"/>
  <c r="M11" i="13"/>
  <c r="J44" i="13"/>
  <c r="I44" i="13"/>
  <c r="H44" i="13"/>
  <c r="G44" i="13"/>
  <c r="F44" i="13"/>
  <c r="E44" i="13"/>
  <c r="D44" i="13"/>
  <c r="K43" i="13"/>
  <c r="J43" i="13"/>
  <c r="I43" i="13"/>
  <c r="H43" i="13"/>
  <c r="G43" i="13"/>
  <c r="F43" i="13"/>
  <c r="E43" i="13"/>
  <c r="D43" i="13"/>
  <c r="K42" i="13"/>
  <c r="J42" i="13"/>
  <c r="I42" i="13"/>
  <c r="H42" i="13"/>
  <c r="G42" i="13"/>
  <c r="F42" i="13"/>
  <c r="E42" i="13"/>
  <c r="D42" i="13"/>
  <c r="J13" i="13"/>
  <c r="N13" i="13"/>
  <c r="I41" i="13"/>
  <c r="H41" i="13"/>
  <c r="G41" i="13"/>
  <c r="F41" i="13"/>
  <c r="E41" i="13"/>
  <c r="D41" i="13"/>
  <c r="K39" i="13"/>
  <c r="J39" i="13"/>
  <c r="I39" i="13"/>
  <c r="H39" i="13"/>
  <c r="G39" i="13"/>
  <c r="F39" i="13"/>
  <c r="E39" i="13"/>
  <c r="D39" i="13"/>
  <c r="K38" i="13"/>
  <c r="J38" i="13"/>
  <c r="L11" i="13"/>
  <c r="I38" i="13"/>
  <c r="H38" i="13"/>
  <c r="J11" i="13"/>
  <c r="N11" i="13"/>
  <c r="G38" i="13"/>
  <c r="M13" i="13"/>
  <c r="F38" i="13"/>
  <c r="L13" i="13"/>
  <c r="E38" i="13"/>
  <c r="D38" i="13"/>
  <c r="K37" i="13"/>
  <c r="J37" i="13"/>
  <c r="I37" i="13"/>
  <c r="H37" i="13"/>
  <c r="G37" i="13"/>
  <c r="F37" i="13"/>
  <c r="E37" i="13"/>
  <c r="D37" i="13"/>
  <c r="M17" i="13"/>
  <c r="L17" i="13"/>
  <c r="K17" i="13"/>
  <c r="J17" i="13"/>
  <c r="I17" i="13"/>
  <c r="H17" i="13"/>
  <c r="L46" i="9"/>
  <c r="F18" i="9"/>
  <c r="G18" i="9"/>
  <c r="M46" i="9"/>
  <c r="L45" i="9"/>
  <c r="F17" i="9"/>
  <c r="G17" i="9"/>
  <c r="M45" i="9"/>
  <c r="L44" i="9"/>
  <c r="F16" i="9"/>
  <c r="G16" i="9"/>
  <c r="H16" i="9"/>
  <c r="M44" i="9"/>
  <c r="L43" i="9"/>
  <c r="M43" i="9"/>
  <c r="L42" i="9"/>
  <c r="F14" i="9"/>
  <c r="G14" i="9"/>
  <c r="H14" i="9"/>
  <c r="M42" i="9"/>
  <c r="L50" i="9"/>
  <c r="H22" i="9"/>
  <c r="F22" i="9"/>
  <c r="G22" i="9"/>
  <c r="M50" i="9"/>
  <c r="L49" i="9"/>
  <c r="H21" i="9"/>
  <c r="F21" i="9"/>
  <c r="G21" i="9"/>
  <c r="M49" i="9"/>
  <c r="L48" i="9"/>
  <c r="L47" i="9"/>
  <c r="F19" i="9"/>
  <c r="G19" i="9"/>
  <c r="M47" i="9"/>
  <c r="M48" i="9"/>
  <c r="J33" i="14"/>
  <c r="M35" i="14"/>
  <c r="I35" i="14"/>
  <c r="R35" i="14"/>
  <c r="J36" i="14"/>
  <c r="J37" i="14"/>
  <c r="J38" i="14"/>
  <c r="J39" i="14"/>
  <c r="J40" i="14"/>
  <c r="J41" i="14"/>
  <c r="J42" i="14"/>
  <c r="J43" i="14"/>
  <c r="J44" i="14"/>
  <c r="J45" i="14"/>
  <c r="J46" i="14"/>
  <c r="J47" i="14"/>
  <c r="J35" i="14"/>
  <c r="J9" i="14"/>
  <c r="J34" i="14"/>
  <c r="L34" i="14"/>
  <c r="L35" i="14"/>
  <c r="L33" i="14"/>
  <c r="L36" i="14"/>
  <c r="L9" i="14"/>
  <c r="L37" i="14"/>
  <c r="L38" i="14"/>
  <c r="L39" i="14"/>
  <c r="L40" i="14"/>
  <c r="L41" i="14"/>
  <c r="L42" i="14"/>
  <c r="L43" i="14"/>
  <c r="L44" i="14"/>
  <c r="L45" i="14"/>
  <c r="L46" i="14"/>
  <c r="L47" i="14"/>
  <c r="L11" i="14"/>
  <c r="D37" i="14"/>
  <c r="D38" i="14"/>
  <c r="K37" i="14"/>
  <c r="K38" i="14"/>
  <c r="K57" i="14"/>
  <c r="K9" i="14"/>
  <c r="O34" i="14"/>
  <c r="M9" i="14"/>
  <c r="M11" i="14"/>
  <c r="K11" i="14"/>
  <c r="I11" i="14"/>
  <c r="J11" i="14"/>
  <c r="R11" i="14"/>
  <c r="H37" i="14"/>
  <c r="I33" i="14"/>
  <c r="R33" i="14"/>
  <c r="D39" i="14"/>
  <c r="H38" i="14"/>
  <c r="K39" i="14"/>
  <c r="O36" i="14"/>
  <c r="N37" i="14"/>
  <c r="N38" i="14"/>
  <c r="O37" i="14"/>
  <c r="O35" i="14"/>
  <c r="N39" i="14"/>
  <c r="N40" i="14"/>
  <c r="O38" i="14"/>
  <c r="Q38" i="14"/>
  <c r="I38" i="14"/>
  <c r="R38" i="14"/>
  <c r="P37" i="14"/>
  <c r="Q37" i="14"/>
  <c r="I37" i="14"/>
  <c r="R37" i="14"/>
  <c r="P38" i="14"/>
  <c r="K40" i="14"/>
  <c r="P36" i="14"/>
  <c r="P9" i="14"/>
  <c r="Q36" i="14"/>
  <c r="D40" i="14"/>
  <c r="H39" i="14"/>
  <c r="O39" i="14"/>
  <c r="I36" i="14"/>
  <c r="Q9" i="14"/>
  <c r="H40" i="14"/>
  <c r="D41" i="14"/>
  <c r="K41" i="14"/>
  <c r="N41" i="14"/>
  <c r="O40" i="14"/>
  <c r="P39" i="14"/>
  <c r="Q39" i="14"/>
  <c r="I39" i="14"/>
  <c r="R39" i="14"/>
  <c r="N42" i="14"/>
  <c r="N43" i="14"/>
  <c r="N44" i="14"/>
  <c r="N45" i="14"/>
  <c r="N46" i="14"/>
  <c r="N47" i="14"/>
  <c r="R36" i="14"/>
  <c r="R9" i="14"/>
  <c r="I9" i="14"/>
  <c r="K42" i="14"/>
  <c r="O41" i="14"/>
  <c r="D42" i="14"/>
  <c r="H41" i="14"/>
  <c r="P40" i="14"/>
  <c r="Q40" i="14"/>
  <c r="I40" i="14"/>
  <c r="R40" i="14"/>
  <c r="H42" i="14"/>
  <c r="D43" i="14"/>
  <c r="P41" i="14"/>
  <c r="Q41" i="14"/>
  <c r="I41" i="14"/>
  <c r="R41" i="14"/>
  <c r="K43" i="14"/>
  <c r="O42" i="14"/>
  <c r="Q42" i="14"/>
  <c r="I42" i="14"/>
  <c r="R42" i="14"/>
  <c r="P42" i="14"/>
  <c r="D44" i="14"/>
  <c r="H43" i="14"/>
  <c r="K44" i="14"/>
  <c r="O43" i="14"/>
  <c r="H44" i="14"/>
  <c r="D45" i="14"/>
  <c r="K45" i="14"/>
  <c r="O44" i="14"/>
  <c r="P43" i="14"/>
  <c r="Q43" i="14"/>
  <c r="I43" i="14"/>
  <c r="R43" i="14"/>
  <c r="K46" i="14"/>
  <c r="O45" i="14"/>
  <c r="H45" i="14"/>
  <c r="D46" i="14"/>
  <c r="P44" i="14"/>
  <c r="Q44" i="14"/>
  <c r="I44" i="14"/>
  <c r="R44" i="14"/>
  <c r="P45" i="14"/>
  <c r="Q45" i="14"/>
  <c r="I45" i="14"/>
  <c r="R45" i="14"/>
  <c r="K47" i="14"/>
  <c r="O46" i="14"/>
  <c r="H46" i="14"/>
  <c r="D47" i="14"/>
  <c r="H47" i="14"/>
  <c r="O47" i="14"/>
  <c r="P46" i="14"/>
  <c r="Q46" i="14"/>
  <c r="I46" i="14"/>
  <c r="R46" i="14"/>
  <c r="P47" i="14"/>
  <c r="Q47" i="14"/>
  <c r="I47" i="14"/>
  <c r="R47" i="14"/>
  <c r="K11" i="13"/>
  <c r="K13" i="13"/>
  <c r="H20" i="9"/>
  <c r="H18" i="9"/>
  <c r="H19" i="9"/>
  <c r="H17" i="9"/>
  <c r="F20" i="9"/>
  <c r="G20" i="9"/>
  <c r="F15" i="9"/>
  <c r="G15" i="9"/>
  <c r="H15" i="9"/>
  <c r="H13" i="12"/>
  <c r="G20" i="15"/>
  <c r="G16" i="15"/>
  <c r="G19" i="15"/>
  <c r="F21" i="15"/>
  <c r="I25" i="12"/>
  <c r="H27" i="12"/>
  <c r="H16" i="12"/>
  <c r="H18" i="12"/>
  <c r="H14" i="12"/>
  <c r="H26" i="12"/>
  <c r="H20" i="12"/>
  <c r="H17" i="12"/>
  <c r="H15" i="12"/>
  <c r="F23" i="15"/>
  <c r="F18" i="15"/>
  <c r="F15" i="15"/>
  <c r="G17" i="15"/>
  <c r="G25" i="15"/>
  <c r="G24" i="15"/>
  <c r="F22" i="15"/>
</calcChain>
</file>

<file path=xl/sharedStrings.xml><?xml version="1.0" encoding="utf-8"?>
<sst xmlns="http://schemas.openxmlformats.org/spreadsheetml/2006/main" count="700" uniqueCount="366">
  <si>
    <t>Type</t>
  </si>
  <si>
    <t>X</t>
  </si>
  <si>
    <t>Y</t>
  </si>
  <si>
    <t>Z</t>
  </si>
  <si>
    <t>Min</t>
  </si>
  <si>
    <t>Max</t>
  </si>
  <si>
    <t>Evaluering af Flow</t>
  </si>
  <si>
    <t>Evaluering af Dp</t>
  </si>
  <si>
    <t>Kvs</t>
  </si>
  <si>
    <t xml:space="preserve">ACHTUNG !!   BITTE HIER NICHT DATEN ÄNDERN </t>
  </si>
  <si>
    <t>Eingabe dP =</t>
  </si>
  <si>
    <t>(kPa) Differenzdruck am Ventil</t>
  </si>
  <si>
    <t>Kv</t>
  </si>
  <si>
    <t>Min. ∆P (kPa)</t>
  </si>
  <si>
    <t xml:space="preserve">DN32 </t>
  </si>
  <si>
    <t>14-400</t>
  </si>
  <si>
    <t xml:space="preserve">DN40 </t>
  </si>
  <si>
    <t xml:space="preserve">DN50 </t>
  </si>
  <si>
    <t>DN15 LF</t>
  </si>
  <si>
    <t>78-625</t>
  </si>
  <si>
    <t>DN15 HF</t>
  </si>
  <si>
    <t>244-1724</t>
  </si>
  <si>
    <t>DN20 LF</t>
  </si>
  <si>
    <t>131-1050</t>
  </si>
  <si>
    <t>DN20 HF</t>
  </si>
  <si>
    <t>292-2039</t>
  </si>
  <si>
    <t>13-400</t>
  </si>
  <si>
    <t>DN25 LF</t>
  </si>
  <si>
    <t>231-1722</t>
  </si>
  <si>
    <t>DN25 HF</t>
  </si>
  <si>
    <t>465-3056</t>
  </si>
  <si>
    <t>2022-7105</t>
  </si>
  <si>
    <t>2204-8586</t>
  </si>
  <si>
    <t>DN10 Low 2,5</t>
  </si>
  <si>
    <t>DN10 Low 5,0</t>
  </si>
  <si>
    <t>DN15 Low 2,5</t>
  </si>
  <si>
    <t>DN15 Low 5,0</t>
  </si>
  <si>
    <t>DN15 High 2,5</t>
  </si>
  <si>
    <t>DN20 High 2,5</t>
  </si>
  <si>
    <t>DN20 High 4,0</t>
  </si>
  <si>
    <t>DN20 High 5,0</t>
  </si>
  <si>
    <t>Débit (l/h)</t>
  </si>
  <si>
    <t xml:space="preserve"> ∆Pp(kPa)</t>
  </si>
  <si>
    <t>Réglages</t>
  </si>
  <si>
    <t>Valeur</t>
  </si>
  <si>
    <t>(l/h) Débit</t>
  </si>
  <si>
    <t>Références</t>
  </si>
  <si>
    <t>QUICK - CALC VFL OPTIMA</t>
  </si>
  <si>
    <t>Réglage et sélection de la vanne VFL Optima</t>
  </si>
  <si>
    <t>30-200</t>
  </si>
  <si>
    <t>65-370</t>
  </si>
  <si>
    <t>100-575</t>
  </si>
  <si>
    <t>160-990</t>
  </si>
  <si>
    <t>220-1330</t>
  </si>
  <si>
    <t>QUICK - CALC VFL OPTIMA Compact</t>
  </si>
  <si>
    <t>Réglage et sélection de la vanne VFL Optima Compact</t>
  </si>
  <si>
    <t>Réglage</t>
  </si>
  <si>
    <t xml:space="preserve">le réglage de ∆Pp  est défini par le Minimum (Min. ∆Pp) et le Maximum (Max.∆Pp) de pression sur la pompe.     </t>
  </si>
  <si>
    <t xml:space="preserve">le réglage de ∆Pp  est défini par le Minimum (Min. ∆Pp) et le Maximum (Max.∆Pp) de pression sur la pompe.   </t>
  </si>
  <si>
    <t>Flow</t>
  </si>
  <si>
    <t xml:space="preserve">Min. ΔP </t>
  </si>
  <si>
    <t>Deviation</t>
  </si>
  <si>
    <t>l/h</t>
  </si>
  <si>
    <t>kPa</t>
  </si>
  <si>
    <t>LP</t>
  </si>
  <si>
    <t>HP</t>
  </si>
  <si>
    <t>DN15-25</t>
  </si>
  <si>
    <t>DN25L-50</t>
  </si>
  <si>
    <t xml:space="preserve">7-350 </t>
  </si>
  <si>
    <t>12-350</t>
  </si>
  <si>
    <t xml:space="preserve">7-600 </t>
  </si>
  <si>
    <t>12-600</t>
  </si>
  <si>
    <t>Plugs</t>
  </si>
  <si>
    <t>P/T-Plugs</t>
  </si>
  <si>
    <t>Valve</t>
  </si>
  <si>
    <t>Dimension</t>
  </si>
  <si>
    <t>DN</t>
  </si>
  <si>
    <t>25-2448</t>
  </si>
  <si>
    <t>25L</t>
  </si>
  <si>
    <t>674-11355</t>
  </si>
  <si>
    <t>Alpha Regler</t>
  </si>
  <si>
    <t>Berechnung nächst kleiner Volumenstrom</t>
  </si>
  <si>
    <t>Berechnung nächst größer Volumenstrom</t>
  </si>
  <si>
    <t>Alpha Ventilgehäuse Modell</t>
  </si>
  <si>
    <t>Ventil</t>
  </si>
  <si>
    <t>Vol.-</t>
  </si>
  <si>
    <t>Art.-Nr.</t>
  </si>
  <si>
    <t xml:space="preserve">Bereich </t>
  </si>
  <si>
    <t>Strom</t>
  </si>
  <si>
    <t>LP-Einsatz</t>
  </si>
  <si>
    <t>HP-Einsatz</t>
  </si>
  <si>
    <t>Alpha S</t>
  </si>
  <si>
    <t>Alpha FE</t>
  </si>
  <si>
    <t>Alpha DM</t>
  </si>
  <si>
    <t>L/h</t>
  </si>
  <si>
    <t>bis 3,5 bar</t>
  </si>
  <si>
    <t>bis 6,0 bar</t>
  </si>
  <si>
    <t>IG/IG</t>
  </si>
  <si>
    <t>DN15-DN25</t>
  </si>
  <si>
    <t>DN25L-DN50</t>
  </si>
  <si>
    <t>Gehäuse sind mit Stopfen, Druckmessnippel oder Füll- und Entleerungskugelhahn</t>
  </si>
  <si>
    <t>Kleiner</t>
  </si>
  <si>
    <t>Grosser</t>
  </si>
  <si>
    <t>Vare nr.</t>
  </si>
  <si>
    <t>Der Regelbereich = S ….</t>
  </si>
  <si>
    <t>DP</t>
  </si>
  <si>
    <t>N/A</t>
  </si>
  <si>
    <t>Qty</t>
  </si>
  <si>
    <t>m³/h Flow</t>
  </si>
  <si>
    <t>m³/h</t>
  </si>
  <si>
    <t>Cartridges</t>
  </si>
  <si>
    <t>AISI 304</t>
  </si>
  <si>
    <t>Berechnungen  Nächst kleiner Volumenstrom :</t>
  </si>
  <si>
    <t>Berechnungen  Nächst größer Volumenstrom :</t>
  </si>
  <si>
    <t>Vol.-Ber.</t>
  </si>
  <si>
    <t>Anzahl</t>
  </si>
  <si>
    <t>Vol.-Str</t>
  </si>
  <si>
    <t xml:space="preserve">Min ΔP </t>
  </si>
  <si>
    <t>Vol.-Strom</t>
  </si>
  <si>
    <t>Ist/Soll</t>
  </si>
  <si>
    <t>Anz</t>
  </si>
  <si>
    <t>Rest</t>
  </si>
  <si>
    <t>Dim.</t>
  </si>
  <si>
    <t>Einsätze</t>
  </si>
  <si>
    <t>Abw.</t>
  </si>
  <si>
    <t>Eins</t>
  </si>
  <si>
    <t>Regler Komplett</t>
  </si>
  <si>
    <t>Einsatz</t>
  </si>
  <si>
    <t xml:space="preserve">   Regler Komplett</t>
  </si>
  <si>
    <t>Eins.</t>
  </si>
  <si>
    <t>3,8 - 45,0</t>
  </si>
  <si>
    <t>3,8 - 90,0</t>
  </si>
  <si>
    <t>3,8 - 135,0</t>
  </si>
  <si>
    <t>3,8 - 180,0</t>
  </si>
  <si>
    <t>3,8 - 315,0</t>
  </si>
  <si>
    <t>3,8 - 540,0</t>
  </si>
  <si>
    <t>3,8 - 675,0</t>
  </si>
  <si>
    <t>3,8 - 855,0</t>
  </si>
  <si>
    <t>3,8 - 1.170,0</t>
  </si>
  <si>
    <t>3,8 - 1.485,0</t>
  </si>
  <si>
    <t>3,8 - 1.800,0</t>
  </si>
  <si>
    <t>3,8 - 2.520,0</t>
  </si>
  <si>
    <t>3,8 - 3.825,0</t>
  </si>
  <si>
    <t>'=((SVERWEIS(($D$5/$C17);$D$40:$F$84;1)*C17))</t>
  </si>
  <si>
    <t>Flow &gt;</t>
  </si>
  <si>
    <t>=((SVERWEIS(($D$5/$C22);$C$38:$I$81;1)*(C22-1)))</t>
  </si>
  <si>
    <t>'=WENN($D$5/$C23&lt;3,8;SVERWEIS(($D$5/$C22);$D$40:$F$84;1);SVERWEIS(($D$5/$C23);$D$40:$F$84;1))</t>
  </si>
  <si>
    <t>Korrektion til slut :</t>
  </si>
  <si>
    <t>'=WENN($D$5/$C24&lt;3,8;D23;SVERWEIS(($D$5/$C24);$D$40:$F$84;1))</t>
  </si>
  <si>
    <t>Spalte D:H Min el slettes</t>
  </si>
  <si>
    <t>DN50-DN800</t>
  </si>
  <si>
    <t>WENN(Prüfung;Dann_Wert; WENN(Prüfung;Dann_Wert;Sonst_Wert))</t>
  </si>
  <si>
    <t>SVERWEIS(Suchkriterium;Matrix;Spalteindex;Bereich_Verweis)</t>
  </si>
  <si>
    <t>D</t>
  </si>
  <si>
    <t>E</t>
  </si>
  <si>
    <t>'=SVERWEIS(($D$5/$C17);$D$40:$F$84;2)</t>
  </si>
  <si>
    <t>F</t>
  </si>
  <si>
    <t>'=SVERWEIS(($D$5/$C17);$D$40:$F$84;3)</t>
  </si>
  <si>
    <t>G</t>
  </si>
  <si>
    <t>'=SVERWEIS(($D$5/$C17);$D$40:$F$84;1)</t>
  </si>
  <si>
    <t>WENN(O23&lt;0;</t>
  </si>
  <si>
    <t>Art.-Nr. Gehäuse</t>
  </si>
  <si>
    <t>QUICK - CALC VAD</t>
  </si>
  <si>
    <t>SELECTION CARTOUCHE</t>
  </si>
  <si>
    <t>valeurt DN =</t>
  </si>
  <si>
    <t>Débit</t>
  </si>
  <si>
    <t>Référence</t>
  </si>
  <si>
    <t>Basse Pression</t>
  </si>
  <si>
    <t>Haute Pression</t>
  </si>
  <si>
    <t>VAD</t>
  </si>
  <si>
    <t>Dimension Vanne</t>
  </si>
  <si>
    <t>5266407H</t>
  </si>
  <si>
    <t>Plage de</t>
  </si>
  <si>
    <t>débit</t>
  </si>
  <si>
    <t>vanne de vidange</t>
  </si>
  <si>
    <t>VAD032F041</t>
  </si>
  <si>
    <t>VAD032F044</t>
  </si>
  <si>
    <t>VAD032F046</t>
  </si>
  <si>
    <t>LP basse Press.</t>
  </si>
  <si>
    <t>HP Haute Press.</t>
  </si>
  <si>
    <t>VAD040F051</t>
  </si>
  <si>
    <t>VAD040F054</t>
  </si>
  <si>
    <t>VAD040F056</t>
  </si>
  <si>
    <t>VAD050F066</t>
  </si>
  <si>
    <t>VAD050F064</t>
  </si>
  <si>
    <t>VAD050F061</t>
  </si>
  <si>
    <t>VAD025LF036</t>
  </si>
  <si>
    <t>VAD025LF034</t>
  </si>
  <si>
    <t>VAD025LF031</t>
  </si>
  <si>
    <t>VAD025F026</t>
  </si>
  <si>
    <t>VAD025F024</t>
  </si>
  <si>
    <t>VAD025F021</t>
  </si>
  <si>
    <t>VAD020F016</t>
  </si>
  <si>
    <t>VAD020F014</t>
  </si>
  <si>
    <t>VAD020F011</t>
  </si>
  <si>
    <t>VAD015F006</t>
  </si>
  <si>
    <t>VAD015F004</t>
  </si>
  <si>
    <t>VAD015F001</t>
  </si>
  <si>
    <t>proche du débit supérieur</t>
  </si>
  <si>
    <t>proche du débit inferieur</t>
  </si>
  <si>
    <t>ΔP (kPa)</t>
  </si>
  <si>
    <t xml:space="preserve"> Q =</t>
  </si>
  <si>
    <t>Qté</t>
  </si>
  <si>
    <t>Cartouches</t>
  </si>
  <si>
    <t>VAD050F073</t>
  </si>
  <si>
    <t>VAD065F083</t>
  </si>
  <si>
    <t>VAD080F093</t>
  </si>
  <si>
    <t>VAD100F103</t>
  </si>
  <si>
    <t>VAD125F163</t>
  </si>
  <si>
    <t>VAD150F113</t>
  </si>
  <si>
    <t>VAD200F123</t>
  </si>
  <si>
    <t>VAD250F133</t>
  </si>
  <si>
    <t>VAD300F143</t>
  </si>
  <si>
    <t>VAD350F153</t>
  </si>
  <si>
    <t>VAD400F173</t>
  </si>
  <si>
    <t>VAD450F183</t>
  </si>
  <si>
    <t>VAD500F193</t>
  </si>
  <si>
    <t>VAD600F203</t>
  </si>
  <si>
    <t>VAD800F213</t>
  </si>
  <si>
    <t>DN =</t>
  </si>
  <si>
    <t>Dimension Valve</t>
  </si>
  <si>
    <t>avec la sélection de dimension de la vanne (DN)</t>
  </si>
  <si>
    <t>Cartouche Type HP (Haute Pression)</t>
  </si>
  <si>
    <t>ΔP :  13 - 600 kPa</t>
  </si>
  <si>
    <t>Référence vanne PN16</t>
  </si>
  <si>
    <t>VAD100F540</t>
  </si>
  <si>
    <t>VAD125F541</t>
  </si>
  <si>
    <t>VAD150F542</t>
  </si>
  <si>
    <t>VAD200F543</t>
  </si>
  <si>
    <t>VAD250F544</t>
  </si>
  <si>
    <t>VAD300F545</t>
  </si>
  <si>
    <t>VAD350F546</t>
  </si>
  <si>
    <t>VAD400F547</t>
  </si>
  <si>
    <t>VAD450F548</t>
  </si>
  <si>
    <t>VAD500F549</t>
  </si>
  <si>
    <t>VAD600F550</t>
  </si>
  <si>
    <t>Référence vanne PN25</t>
  </si>
  <si>
    <t>Néant</t>
  </si>
  <si>
    <t>Sans prise de pression</t>
  </si>
  <si>
    <t>Avec prise de pression</t>
  </si>
  <si>
    <t>Q =</t>
  </si>
  <si>
    <t>F300</t>
  </si>
  <si>
    <t>F310</t>
  </si>
  <si>
    <t>F301</t>
  </si>
  <si>
    <t>F311</t>
  </si>
  <si>
    <t>VFL025</t>
  </si>
  <si>
    <t>VFL032</t>
  </si>
  <si>
    <t>VFL040</t>
  </si>
  <si>
    <t>VFL050</t>
  </si>
  <si>
    <t>Q=</t>
  </si>
  <si>
    <t>Raccords Male/Male sans prise de pression</t>
  </si>
  <si>
    <t>F210</t>
  </si>
  <si>
    <t>F200</t>
  </si>
  <si>
    <t>F220</t>
  </si>
  <si>
    <t>Raccords Male/Male avec prise de pression</t>
  </si>
  <si>
    <t>F211</t>
  </si>
  <si>
    <t>F201</t>
  </si>
  <si>
    <t>F221</t>
  </si>
  <si>
    <t>VFL010</t>
  </si>
  <si>
    <t>VFL015</t>
  </si>
  <si>
    <t>VFL020</t>
  </si>
  <si>
    <t>Raccords Fem./Fem. avec prise de pression</t>
  </si>
  <si>
    <t>Raccords Fem./Fem. sans prise de pression</t>
  </si>
  <si>
    <t>F222</t>
  </si>
  <si>
    <t>F223</t>
  </si>
  <si>
    <t>F212</t>
  </si>
  <si>
    <t>F213</t>
  </si>
  <si>
    <t>F202</t>
  </si>
  <si>
    <t>F203</t>
  </si>
  <si>
    <t>Range</t>
  </si>
  <si>
    <t>DN50 Low Flow</t>
  </si>
  <si>
    <t>DN50 High Flow</t>
  </si>
  <si>
    <t>DN65 Low Flow</t>
  </si>
  <si>
    <t>15-600</t>
  </si>
  <si>
    <t>DN65 High Flow</t>
  </si>
  <si>
    <t>DN80 Low Flow</t>
  </si>
  <si>
    <t>16-600</t>
  </si>
  <si>
    <t>DN80 High Flow</t>
  </si>
  <si>
    <t>QUICK - CALC VFL OPTIMA Flange</t>
  </si>
  <si>
    <t>(m3/h) Débit</t>
  </si>
  <si>
    <t xml:space="preserve">le réglage de ∆Pp  est défini par le Minimum (Min. ∆Pp) et le Maximum (Max.∆Pp) de pression sur la pompe.      </t>
  </si>
  <si>
    <t>Débit (m3/h)</t>
  </si>
  <si>
    <t>∆Pp(kPa)</t>
  </si>
  <si>
    <t>PN16</t>
  </si>
  <si>
    <t>PN25</t>
  </si>
  <si>
    <t>VFL065</t>
  </si>
  <si>
    <t>VFL080</t>
  </si>
  <si>
    <t>F400</t>
  </si>
  <si>
    <t>F401</t>
  </si>
  <si>
    <t>F410</t>
  </si>
  <si>
    <t>F411</t>
  </si>
  <si>
    <t>F230</t>
  </si>
  <si>
    <t>F231</t>
  </si>
  <si>
    <t>F232</t>
  </si>
  <si>
    <t>F233</t>
  </si>
  <si>
    <t>600-3609</t>
  </si>
  <si>
    <t>550-4001</t>
  </si>
  <si>
    <t>DN25 5,5</t>
  </si>
  <si>
    <t>VFL100</t>
  </si>
  <si>
    <t>DN100 low Flow</t>
  </si>
  <si>
    <t>DN100 High Flow</t>
  </si>
  <si>
    <t>DN32</t>
  </si>
  <si>
    <t>DN40</t>
  </si>
  <si>
    <t>DN50</t>
  </si>
  <si>
    <t>1370-9500</t>
  </si>
  <si>
    <t>1400-11500</t>
  </si>
  <si>
    <t>-</t>
  </si>
  <si>
    <t>Projet:</t>
  </si>
  <si>
    <t>Installation:</t>
  </si>
  <si>
    <t>Installation</t>
  </si>
  <si>
    <t>14-600</t>
  </si>
  <si>
    <t>17-800</t>
  </si>
  <si>
    <t>18-800</t>
  </si>
  <si>
    <t>10-800</t>
  </si>
  <si>
    <t>14-800</t>
  </si>
  <si>
    <t>16-800</t>
  </si>
  <si>
    <t>19-800</t>
  </si>
  <si>
    <t>7-800</t>
  </si>
  <si>
    <t>15-800</t>
  </si>
  <si>
    <t>30-800</t>
  </si>
  <si>
    <t>23-800</t>
  </si>
  <si>
    <t>DN25L High 5,5</t>
  </si>
  <si>
    <t>DN20 High 5,5</t>
  </si>
  <si>
    <t>300-1800</t>
  </si>
  <si>
    <t>18-600</t>
  </si>
  <si>
    <t>F240</t>
  </si>
  <si>
    <t>F241</t>
  </si>
  <si>
    <t>F242</t>
  </si>
  <si>
    <t>F243</t>
  </si>
  <si>
    <t>F21.</t>
  </si>
  <si>
    <t>F20.</t>
  </si>
  <si>
    <t>F22.</t>
  </si>
  <si>
    <t>F23.</t>
  </si>
  <si>
    <t>F24.</t>
  </si>
  <si>
    <t>DN15 High 5,0</t>
  </si>
  <si>
    <t>DN125 High Flow</t>
  </si>
  <si>
    <t>DN150 High Flow</t>
  </si>
  <si>
    <t>DN125 low Flow</t>
  </si>
  <si>
    <t>DN150 low Flow</t>
  </si>
  <si>
    <t>VFL125</t>
  </si>
  <si>
    <t>VFL150</t>
  </si>
  <si>
    <t>23,00-135,00</t>
  </si>
  <si>
    <t>25,60-148,00</t>
  </si>
  <si>
    <t>32,00-195,00</t>
  </si>
  <si>
    <t>33-800</t>
  </si>
  <si>
    <t>21-800</t>
  </si>
  <si>
    <t>27-800</t>
  </si>
  <si>
    <t>20-800</t>
  </si>
  <si>
    <t>Rapport sur la compatibilité concernant Quick-Calc.xls</t>
  </si>
  <si>
    <t>Exécuté le 01/12/2015 14:07</t>
  </si>
  <si>
    <t>Les fonctionnalités suivantes de ce classeur ne sont pas prises en charge dans les versions antérieures d’Excel. Ces fonctionnalités seront peut-être perdues ou dégradées si vous ouvrez le classeur dans une version antérieure du programme ou si vous l’enregistrez dans un format de fichier antérieur.</t>
  </si>
  <si>
    <t>Perte mineure de fidélité</t>
  </si>
  <si>
    <t>Nb d'occurrences</t>
  </si>
  <si>
    <t>Version</t>
  </si>
  <si>
    <t>Certaines cellules ou certains styles de ce classeur contiennent une mise en forme qui n'est pas prise en charge par le format de fichier sélectionné. Ces formats seront convertis au format le plus proche disponible.</t>
  </si>
  <si>
    <t>Excel 97-2003</t>
  </si>
  <si>
    <t>2,48-15,00</t>
  </si>
  <si>
    <t>3,92-24,00</t>
  </si>
  <si>
    <t>4,38-25,00</t>
  </si>
  <si>
    <t>5,95-35,00</t>
  </si>
  <si>
    <t>5,30-34,00</t>
  </si>
  <si>
    <t>7,00-43,00</t>
  </si>
  <si>
    <t>12,10-68,00</t>
  </si>
  <si>
    <t>14,80-90,00</t>
  </si>
  <si>
    <t>18,50-110,00</t>
  </si>
  <si>
    <t>Calculs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</si>
</sst>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00_);_(* \(#,##0.00\);_(* &quot;-&quot;??_);_(@_)"/>
    <numFmt numFmtId="165" formatCode="0.0"/>
    <numFmt numFmtId="166" formatCode="0.0%"/>
    <numFmt numFmtId="167" formatCode="#,##0.0"/>
  </numFmts>
  <fonts count="35" x14ac:knownFonts="1">
    <font>
      <sz val="10"/>
      <name val="Arial"/>
    </font>
    <font>
      <sz val="11"/>
      <color indexed="8"/>
      <name val="Calibri"/>
      <family val="2"/>
    </font>
    <font>
      <sz val="10"/>
      <name val="Arial"/>
      <family val="2"/>
    </font>
    <font>
      <b/>
      <sz val="10"/>
      <name val="Arial"/>
      <family val="2"/>
    </font>
    <font>
      <sz val="10"/>
      <color indexed="10"/>
      <name val="Arial"/>
      <family val="2"/>
    </font>
    <font>
      <b/>
      <sz val="20"/>
      <name val="Arial"/>
      <family val="2"/>
    </font>
    <font>
      <b/>
      <sz val="16"/>
      <name val="Arial"/>
      <family val="2"/>
    </font>
    <font>
      <sz val="20"/>
      <name val="Arial"/>
      <family val="2"/>
    </font>
    <font>
      <sz val="10"/>
      <color indexed="10"/>
      <name val="Arial"/>
      <family val="2"/>
    </font>
    <font>
      <sz val="10"/>
      <name val="Arial"/>
      <family val="2"/>
    </font>
    <font>
      <sz val="10"/>
      <color indexed="57"/>
      <name val="Arial"/>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sz val="10"/>
      <name val="Arial"/>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name val="Arial"/>
      <family val="2"/>
    </font>
    <font>
      <b/>
      <sz val="10"/>
      <color indexed="10"/>
      <name val="Arial"/>
      <family val="2"/>
    </font>
    <font>
      <sz val="11"/>
      <name val="Arial"/>
      <family val="2"/>
    </font>
    <font>
      <b/>
      <sz val="8"/>
      <name val="Arial"/>
      <family val="2"/>
    </font>
    <font>
      <b/>
      <sz val="10"/>
      <name val="Arial"/>
      <family val="2"/>
    </font>
    <font>
      <sz val="10"/>
      <color rgb="FF000000"/>
      <name val="Arial"/>
      <family val="2"/>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0"/>
        <bgColor indexed="64"/>
      </patternFill>
    </fill>
    <fill>
      <patternFill patternType="solid">
        <fgColor indexed="52"/>
        <bgColor indexed="64"/>
      </patternFill>
    </fill>
    <fill>
      <patternFill patternType="solid">
        <fgColor indexed="26"/>
        <bgColor indexed="64"/>
      </patternFill>
    </fill>
    <fill>
      <patternFill patternType="solid">
        <fgColor indexed="44"/>
        <bgColor indexed="64"/>
      </patternFill>
    </fill>
    <fill>
      <patternFill patternType="solid">
        <fgColor indexed="10"/>
        <bgColor indexed="64"/>
      </patternFill>
    </fill>
    <fill>
      <patternFill patternType="solid">
        <fgColor theme="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3" tint="0.59999389629810485"/>
        <bgColor indexed="64"/>
      </patternFill>
    </fill>
  </fills>
  <borders count="10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ck">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ck">
        <color indexed="64"/>
      </right>
      <top/>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style="thick">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style="medium">
        <color indexed="64"/>
      </left>
      <right style="thick">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bottom style="medium">
        <color indexed="64"/>
      </bottom>
      <diagonal/>
    </border>
    <border>
      <left style="thin">
        <color indexed="64"/>
      </left>
      <right/>
      <top style="thick">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ck">
        <color indexed="64"/>
      </left>
      <right/>
      <top style="thin">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s>
  <cellStyleXfs count="63">
    <xf numFmtId="0" fontId="0" fillId="0" borderId="0"/>
    <xf numFmtId="43" fontId="9" fillId="0" borderId="0" applyFont="0" applyFill="0" applyBorder="0" applyAlignment="0" applyProtection="0"/>
    <xf numFmtId="0" fontId="28" fillId="2" borderId="0" applyNumberFormat="0" applyBorder="0" applyAlignment="0" applyProtection="0"/>
    <xf numFmtId="0" fontId="1" fillId="2" borderId="0" applyNumberFormat="0" applyBorder="0" applyAlignment="0" applyProtection="0"/>
    <xf numFmtId="0" fontId="28" fillId="3" borderId="0" applyNumberFormat="0" applyBorder="0" applyAlignment="0" applyProtection="0"/>
    <xf numFmtId="0" fontId="1" fillId="3" borderId="0" applyNumberFormat="0" applyBorder="0" applyAlignment="0" applyProtection="0"/>
    <xf numFmtId="0" fontId="28" fillId="4" borderId="0" applyNumberFormat="0" applyBorder="0" applyAlignment="0" applyProtection="0"/>
    <xf numFmtId="0" fontId="1" fillId="4" borderId="0" applyNumberFormat="0" applyBorder="0" applyAlignment="0" applyProtection="0"/>
    <xf numFmtId="0" fontId="28" fillId="5" borderId="0" applyNumberFormat="0" applyBorder="0" applyAlignment="0" applyProtection="0"/>
    <xf numFmtId="0" fontId="1" fillId="5" borderId="0" applyNumberFormat="0" applyBorder="0" applyAlignment="0" applyProtection="0"/>
    <xf numFmtId="0" fontId="28" fillId="6" borderId="0" applyNumberFormat="0" applyBorder="0" applyAlignment="0" applyProtection="0"/>
    <xf numFmtId="0" fontId="1" fillId="6" borderId="0" applyNumberFormat="0" applyBorder="0" applyAlignment="0" applyProtection="0"/>
    <xf numFmtId="0" fontId="28" fillId="7" borderId="0" applyNumberFormat="0" applyBorder="0" applyAlignment="0" applyProtection="0"/>
    <xf numFmtId="0" fontId="1" fillId="7" borderId="0" applyNumberFormat="0" applyBorder="0" applyAlignment="0" applyProtection="0"/>
    <xf numFmtId="0" fontId="28" fillId="8" borderId="0" applyNumberFormat="0" applyBorder="0" applyAlignment="0" applyProtection="0"/>
    <xf numFmtId="0" fontId="1" fillId="8" borderId="0" applyNumberFormat="0" applyBorder="0" applyAlignment="0" applyProtection="0"/>
    <xf numFmtId="0" fontId="28" fillId="9" borderId="0" applyNumberFormat="0" applyBorder="0" applyAlignment="0" applyProtection="0"/>
    <xf numFmtId="0" fontId="1" fillId="9" borderId="0" applyNumberFormat="0" applyBorder="0" applyAlignment="0" applyProtection="0"/>
    <xf numFmtId="0" fontId="28" fillId="10" borderId="0" applyNumberFormat="0" applyBorder="0" applyAlignment="0" applyProtection="0"/>
    <xf numFmtId="0" fontId="1" fillId="10" borderId="0" applyNumberFormat="0" applyBorder="0" applyAlignment="0" applyProtection="0"/>
    <xf numFmtId="0" fontId="28" fillId="5" borderId="0" applyNumberFormat="0" applyBorder="0" applyAlignment="0" applyProtection="0"/>
    <xf numFmtId="0" fontId="1" fillId="5" borderId="0" applyNumberFormat="0" applyBorder="0" applyAlignment="0" applyProtection="0"/>
    <xf numFmtId="0" fontId="28" fillId="8" borderId="0" applyNumberFormat="0" applyBorder="0" applyAlignment="0" applyProtection="0"/>
    <xf numFmtId="0" fontId="1" fillId="8" borderId="0" applyNumberFormat="0" applyBorder="0" applyAlignment="0" applyProtection="0"/>
    <xf numFmtId="0" fontId="28" fillId="11"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9" fillId="20" borderId="1" applyNumberFormat="0" applyAlignment="0" applyProtection="0"/>
    <xf numFmtId="0" fontId="20" fillId="20" borderId="2" applyNumberFormat="0" applyAlignment="0" applyProtection="0"/>
    <xf numFmtId="0" fontId="18" fillId="7" borderId="2" applyNumberFormat="0" applyAlignment="0" applyProtection="0"/>
    <xf numFmtId="0" fontId="26" fillId="0" borderId="5" applyNumberFormat="0" applyFill="0" applyAlignment="0" applyProtection="0"/>
    <xf numFmtId="0" fontId="25" fillId="0" borderId="0" applyNumberFormat="0" applyFill="0" applyBorder="0" applyAlignment="0" applyProtection="0"/>
    <xf numFmtId="0" fontId="16" fillId="4"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9" fillId="21" borderId="4" applyNumberFormat="0" applyFont="0" applyAlignment="0" applyProtection="0"/>
    <xf numFmtId="0" fontId="2" fillId="21" borderId="4" applyNumberFormat="0" applyFont="0" applyAlignment="0" applyProtection="0"/>
    <xf numFmtId="9" fontId="24"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7" fillId="3" borderId="0" applyNumberFormat="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21" fillId="0" borderId="3" applyNumberFormat="0" applyFill="0" applyAlignment="0" applyProtection="0"/>
    <xf numFmtId="0" fontId="23" fillId="0" borderId="0" applyNumberFormat="0" applyFill="0" applyBorder="0" applyAlignment="0" applyProtection="0"/>
    <xf numFmtId="0" fontId="22" fillId="22" borderId="9" applyNumberFormat="0" applyAlignment="0" applyProtection="0"/>
  </cellStyleXfs>
  <cellXfs count="660">
    <xf numFmtId="0" fontId="0" fillId="0" borderId="0" xfId="0"/>
    <xf numFmtId="2" fontId="8" fillId="0" borderId="10" xfId="0" applyNumberFormat="1" applyFont="1" applyBorder="1" applyAlignment="1" applyProtection="1">
      <alignment horizontal="center" vertical="center"/>
    </xf>
    <xf numFmtId="2" fontId="4" fillId="0" borderId="10" xfId="0" applyNumberFormat="1" applyFont="1" applyBorder="1" applyAlignment="1" applyProtection="1">
      <alignment horizontal="center" vertical="center"/>
    </xf>
    <xf numFmtId="0" fontId="0" fillId="23" borderId="0" xfId="0" applyFill="1" applyProtection="1"/>
    <xf numFmtId="0" fontId="0" fillId="0" borderId="0" xfId="0" applyProtection="1"/>
    <xf numFmtId="0" fontId="3" fillId="0" borderId="11" xfId="0" applyFont="1" applyBorder="1" applyProtection="1"/>
    <xf numFmtId="0" fontId="3" fillId="0" borderId="12" xfId="0" applyFont="1" applyBorder="1" applyProtection="1"/>
    <xf numFmtId="0" fontId="0" fillId="0" borderId="12" xfId="0" applyBorder="1" applyProtection="1"/>
    <xf numFmtId="0" fontId="0" fillId="0" borderId="13" xfId="0" applyBorder="1" applyProtection="1"/>
    <xf numFmtId="0" fontId="0" fillId="0" borderId="14" xfId="0" applyBorder="1" applyProtection="1"/>
    <xf numFmtId="0" fontId="0" fillId="0" borderId="0" xfId="0" applyBorder="1" applyProtection="1"/>
    <xf numFmtId="0" fontId="3" fillId="0" borderId="0" xfId="0" applyFont="1" applyBorder="1" applyAlignment="1" applyProtection="1">
      <alignment horizontal="center"/>
    </xf>
    <xf numFmtId="0" fontId="3" fillId="0" borderId="0" xfId="0" applyFont="1" applyBorder="1" applyAlignment="1" applyProtection="1"/>
    <xf numFmtId="0" fontId="0" fillId="0" borderId="15" xfId="0" applyBorder="1" applyProtection="1"/>
    <xf numFmtId="0" fontId="3" fillId="0" borderId="14" xfId="0" applyFont="1" applyBorder="1" applyProtection="1"/>
    <xf numFmtId="0" fontId="3" fillId="0" borderId="0" xfId="0" applyFont="1" applyBorder="1" applyProtection="1"/>
    <xf numFmtId="0" fontId="3" fillId="24" borderId="0" xfId="0" applyFont="1" applyFill="1" applyBorder="1" applyAlignment="1" applyProtection="1">
      <alignment horizontal="center"/>
    </xf>
    <xf numFmtId="0" fontId="3" fillId="23" borderId="0" xfId="0" applyFont="1" applyFill="1" applyBorder="1" applyProtection="1"/>
    <xf numFmtId="0" fontId="3" fillId="0" borderId="0" xfId="0" applyFont="1" applyBorder="1" applyAlignment="1" applyProtection="1">
      <alignment horizontal="right"/>
    </xf>
    <xf numFmtId="0" fontId="3" fillId="0" borderId="0" xfId="0" applyFont="1" applyProtection="1"/>
    <xf numFmtId="0" fontId="9" fillId="0" borderId="0" xfId="0" applyFont="1" applyBorder="1" applyProtection="1"/>
    <xf numFmtId="165" fontId="0" fillId="23" borderId="0" xfId="0" applyNumberFormat="1" applyFill="1" applyBorder="1" applyProtection="1"/>
    <xf numFmtId="0" fontId="0" fillId="0" borderId="16" xfId="0" applyBorder="1" applyProtection="1"/>
    <xf numFmtId="0" fontId="0" fillId="0" borderId="17" xfId="0" applyBorder="1" applyProtection="1"/>
    <xf numFmtId="0" fontId="0" fillId="0" borderId="17" xfId="0" applyNumberFormat="1" applyBorder="1" applyProtection="1"/>
    <xf numFmtId="0" fontId="0" fillId="0" borderId="18" xfId="0" applyBorder="1" applyProtection="1"/>
    <xf numFmtId="0" fontId="0" fillId="0" borderId="0" xfId="0" applyNumberFormat="1" applyProtection="1"/>
    <xf numFmtId="0" fontId="7" fillId="23" borderId="0" xfId="0" applyFont="1" applyFill="1" applyProtection="1"/>
    <xf numFmtId="0" fontId="4" fillId="0" borderId="0" xfId="0" applyFont="1" applyFill="1" applyProtection="1"/>
    <xf numFmtId="0" fontId="4" fillId="0" borderId="0" xfId="0" applyFont="1" applyProtection="1"/>
    <xf numFmtId="0" fontId="3" fillId="0" borderId="19"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21" xfId="0" applyFont="1" applyBorder="1" applyAlignment="1" applyProtection="1">
      <alignment horizontal="center"/>
    </xf>
    <xf numFmtId="0" fontId="3" fillId="0" borderId="22" xfId="0" applyFont="1" applyBorder="1" applyAlignment="1" applyProtection="1">
      <alignment horizontal="center"/>
    </xf>
    <xf numFmtId="0" fontId="9" fillId="25" borderId="23" xfId="0" applyFont="1" applyFill="1" applyBorder="1" applyAlignment="1" applyProtection="1">
      <alignment horizontal="left" vertical="center"/>
    </xf>
    <xf numFmtId="0" fontId="9" fillId="25" borderId="24" xfId="0" applyFont="1" applyFill="1" applyBorder="1" applyAlignment="1" applyProtection="1">
      <alignment horizontal="left" vertical="center"/>
    </xf>
    <xf numFmtId="0" fontId="0" fillId="0" borderId="25" xfId="0" applyBorder="1" applyAlignment="1" applyProtection="1">
      <alignment horizontal="left" vertical="center"/>
    </xf>
    <xf numFmtId="0" fontId="4" fillId="0" borderId="10" xfId="0" applyFont="1" applyBorder="1" applyAlignment="1" applyProtection="1">
      <alignment horizontal="center"/>
    </xf>
    <xf numFmtId="165" fontId="3" fillId="26" borderId="26" xfId="0" applyNumberFormat="1" applyFont="1" applyFill="1" applyBorder="1" applyAlignment="1" applyProtection="1">
      <alignment horizontal="center"/>
      <protection hidden="1"/>
    </xf>
    <xf numFmtId="165" fontId="3" fillId="27" borderId="27" xfId="0" applyNumberFormat="1" applyFont="1" applyFill="1" applyBorder="1" applyAlignment="1" applyProtection="1">
      <alignment horizontal="center"/>
      <protection hidden="1"/>
    </xf>
    <xf numFmtId="165" fontId="3" fillId="26" borderId="28" xfId="0" applyNumberFormat="1" applyFont="1" applyFill="1" applyBorder="1" applyAlignment="1" applyProtection="1">
      <alignment horizontal="center"/>
      <protection hidden="1"/>
    </xf>
    <xf numFmtId="165" fontId="3" fillId="26" borderId="29" xfId="0" applyNumberFormat="1" applyFont="1" applyFill="1" applyBorder="1" applyAlignment="1" applyProtection="1">
      <alignment horizontal="center"/>
      <protection hidden="1"/>
    </xf>
    <xf numFmtId="165" fontId="3" fillId="27" borderId="30" xfId="0" applyNumberFormat="1" applyFont="1" applyFill="1" applyBorder="1" applyAlignment="1" applyProtection="1">
      <alignment horizontal="center"/>
      <protection hidden="1"/>
    </xf>
    <xf numFmtId="165" fontId="3" fillId="26" borderId="10" xfId="0" applyNumberFormat="1" applyFont="1" applyFill="1" applyBorder="1" applyAlignment="1" applyProtection="1">
      <alignment horizontal="center"/>
      <protection hidden="1"/>
    </xf>
    <xf numFmtId="165" fontId="3" fillId="27" borderId="31" xfId="0" applyNumberFormat="1" applyFont="1" applyFill="1" applyBorder="1" applyAlignment="1" applyProtection="1">
      <alignment horizontal="center"/>
      <protection hidden="1"/>
    </xf>
    <xf numFmtId="165" fontId="3" fillId="26" borderId="32" xfId="0" applyNumberFormat="1" applyFont="1" applyFill="1" applyBorder="1" applyAlignment="1" applyProtection="1">
      <alignment horizontal="center"/>
      <protection hidden="1"/>
    </xf>
    <xf numFmtId="165" fontId="3" fillId="27" borderId="33" xfId="0" applyNumberFormat="1" applyFont="1" applyFill="1" applyBorder="1" applyAlignment="1" applyProtection="1">
      <alignment horizontal="center"/>
      <protection hidden="1"/>
    </xf>
    <xf numFmtId="0" fontId="9" fillId="0" borderId="34" xfId="0" applyFont="1" applyBorder="1" applyAlignment="1" applyProtection="1">
      <alignment horizontal="center"/>
      <protection hidden="1"/>
    </xf>
    <xf numFmtId="0" fontId="9" fillId="0" borderId="35" xfId="0" applyFont="1" applyBorder="1" applyAlignment="1" applyProtection="1">
      <alignment horizontal="center"/>
      <protection hidden="1"/>
    </xf>
    <xf numFmtId="0" fontId="3" fillId="26" borderId="36" xfId="0" applyFont="1" applyFill="1" applyBorder="1" applyAlignment="1" applyProtection="1">
      <alignment horizontal="center"/>
      <protection hidden="1"/>
    </xf>
    <xf numFmtId="0" fontId="3" fillId="27" borderId="37" xfId="0" applyFont="1" applyFill="1" applyBorder="1" applyAlignment="1" applyProtection="1">
      <alignment horizontal="center"/>
      <protection hidden="1"/>
    </xf>
    <xf numFmtId="0" fontId="9" fillId="25" borderId="23" xfId="0" applyFont="1" applyFill="1" applyBorder="1" applyAlignment="1" applyProtection="1">
      <alignment horizontal="center" vertical="center"/>
      <protection hidden="1"/>
    </xf>
    <xf numFmtId="0" fontId="9" fillId="25" borderId="38" xfId="0" applyFont="1" applyFill="1" applyBorder="1" applyAlignment="1" applyProtection="1">
      <alignment horizontal="center" vertical="center"/>
      <protection hidden="1"/>
    </xf>
    <xf numFmtId="0" fontId="9" fillId="25" borderId="39" xfId="0" applyFont="1" applyFill="1" applyBorder="1" applyAlignment="1" applyProtection="1">
      <alignment horizontal="center" vertical="center"/>
      <protection hidden="1"/>
    </xf>
    <xf numFmtId="0" fontId="0" fillId="25" borderId="38" xfId="0" applyFill="1" applyBorder="1" applyAlignment="1" applyProtection="1">
      <alignment horizontal="center"/>
      <protection hidden="1"/>
    </xf>
    <xf numFmtId="0" fontId="9" fillId="0" borderId="40" xfId="0" applyFont="1" applyFill="1" applyBorder="1" applyAlignment="1" applyProtection="1">
      <alignment horizontal="center" vertical="center"/>
      <protection hidden="1"/>
    </xf>
    <xf numFmtId="0" fontId="9" fillId="0" borderId="10" xfId="0" applyFont="1" applyFill="1" applyBorder="1" applyAlignment="1" applyProtection="1">
      <alignment horizontal="center" vertical="center"/>
      <protection hidden="1"/>
    </xf>
    <xf numFmtId="0" fontId="9" fillId="0" borderId="25" xfId="0" applyFont="1" applyFill="1" applyBorder="1" applyAlignment="1" applyProtection="1">
      <alignment horizontal="center" vertical="center"/>
      <protection hidden="1"/>
    </xf>
    <xf numFmtId="0" fontId="0" fillId="0" borderId="10" xfId="0" applyFill="1" applyBorder="1" applyAlignment="1" applyProtection="1">
      <alignment horizontal="center"/>
      <protection hidden="1"/>
    </xf>
    <xf numFmtId="0" fontId="9" fillId="25" borderId="40" xfId="0" applyFont="1" applyFill="1" applyBorder="1" applyAlignment="1" applyProtection="1">
      <alignment horizontal="center" vertical="center"/>
      <protection hidden="1"/>
    </xf>
    <xf numFmtId="0" fontId="9" fillId="25" borderId="10" xfId="0" applyFont="1" applyFill="1" applyBorder="1" applyAlignment="1" applyProtection="1">
      <alignment horizontal="center" vertical="center"/>
      <protection hidden="1"/>
    </xf>
    <xf numFmtId="0" fontId="9" fillId="25" borderId="25" xfId="0" applyFont="1" applyFill="1" applyBorder="1" applyAlignment="1" applyProtection="1">
      <alignment horizontal="center" vertical="center"/>
      <protection hidden="1"/>
    </xf>
    <xf numFmtId="0" fontId="0" fillId="25" borderId="10" xfId="0" applyFill="1" applyBorder="1" applyAlignment="1" applyProtection="1">
      <alignment horizontal="center"/>
      <protection hidden="1"/>
    </xf>
    <xf numFmtId="0" fontId="9" fillId="0" borderId="41" xfId="0" applyFont="1" applyFill="1" applyBorder="1" applyAlignment="1" applyProtection="1">
      <alignment horizontal="center" vertical="center"/>
      <protection hidden="1"/>
    </xf>
    <xf numFmtId="0" fontId="9" fillId="0" borderId="42" xfId="0" applyFont="1" applyFill="1" applyBorder="1" applyAlignment="1" applyProtection="1">
      <alignment horizontal="center" vertical="center"/>
      <protection hidden="1"/>
    </xf>
    <xf numFmtId="0" fontId="9" fillId="0" borderId="43" xfId="0" applyFont="1" applyFill="1" applyBorder="1" applyAlignment="1" applyProtection="1">
      <alignment horizontal="center" vertical="center"/>
      <protection hidden="1"/>
    </xf>
    <xf numFmtId="0" fontId="0" fillId="0" borderId="42" xfId="0" applyFill="1" applyBorder="1" applyAlignment="1" applyProtection="1">
      <alignment horizontal="center"/>
      <protection hidden="1"/>
    </xf>
    <xf numFmtId="0" fontId="9" fillId="0" borderId="32" xfId="0" applyFont="1" applyFill="1" applyBorder="1" applyAlignment="1" applyProtection="1">
      <alignment horizontal="center" vertical="center"/>
      <protection hidden="1"/>
    </xf>
    <xf numFmtId="0" fontId="0" fillId="0" borderId="32" xfId="0" applyFill="1" applyBorder="1" applyAlignment="1" applyProtection="1">
      <alignment horizontal="center"/>
      <protection hidden="1"/>
    </xf>
    <xf numFmtId="0" fontId="6" fillId="0" borderId="12" xfId="0" applyFont="1" applyFill="1" applyBorder="1" applyAlignment="1" applyProtection="1">
      <protection hidden="1"/>
    </xf>
    <xf numFmtId="0" fontId="0" fillId="23" borderId="0" xfId="0" applyFill="1" applyProtection="1">
      <protection hidden="1"/>
    </xf>
    <xf numFmtId="0" fontId="0" fillId="0" borderId="0" xfId="0" applyProtection="1">
      <protection hidden="1"/>
    </xf>
    <xf numFmtId="0" fontId="6" fillId="0" borderId="17" xfId="0" applyFont="1" applyFill="1" applyBorder="1" applyAlignment="1" applyProtection="1">
      <protection hidden="1"/>
    </xf>
    <xf numFmtId="0" fontId="3" fillId="0" borderId="11" xfId="0" applyFont="1" applyBorder="1" applyProtection="1">
      <protection hidden="1"/>
    </xf>
    <xf numFmtId="0" fontId="3" fillId="0" borderId="12" xfId="0" applyFont="1" applyBorder="1" applyProtection="1">
      <protection hidden="1"/>
    </xf>
    <xf numFmtId="0" fontId="0" fillId="0" borderId="12" xfId="0" applyBorder="1" applyProtection="1">
      <protection hidden="1"/>
    </xf>
    <xf numFmtId="0" fontId="0" fillId="0" borderId="13" xfId="0" applyBorder="1" applyProtection="1">
      <protection hidden="1"/>
    </xf>
    <xf numFmtId="0" fontId="0" fillId="0" borderId="14" xfId="0" applyBorder="1" applyProtection="1">
      <protection hidden="1"/>
    </xf>
    <xf numFmtId="0" fontId="0" fillId="0" borderId="0" xfId="0" applyBorder="1" applyProtection="1">
      <protection hidden="1"/>
    </xf>
    <xf numFmtId="0" fontId="3" fillId="0" borderId="0" xfId="0" applyFont="1" applyBorder="1" applyAlignment="1" applyProtection="1">
      <alignment horizontal="center"/>
      <protection hidden="1"/>
    </xf>
    <xf numFmtId="0" fontId="3" fillId="0" borderId="0" xfId="0" applyFont="1" applyBorder="1" applyAlignment="1" applyProtection="1">
      <protection hidden="1"/>
    </xf>
    <xf numFmtId="0" fontId="0" fillId="0" borderId="15" xfId="0" applyBorder="1" applyProtection="1">
      <protection hidden="1"/>
    </xf>
    <xf numFmtId="0" fontId="3" fillId="0" borderId="14" xfId="0" applyFont="1" applyBorder="1" applyProtection="1">
      <protection hidden="1"/>
    </xf>
    <xf numFmtId="0" fontId="3" fillId="0" borderId="0" xfId="0" applyFont="1" applyBorder="1" applyProtection="1">
      <protection hidden="1"/>
    </xf>
    <xf numFmtId="0" fontId="3" fillId="24" borderId="0" xfId="0" applyFont="1" applyFill="1" applyBorder="1" applyAlignment="1" applyProtection="1">
      <alignment horizontal="center"/>
      <protection hidden="1"/>
    </xf>
    <xf numFmtId="0" fontId="3" fillId="23" borderId="0" xfId="0" applyFont="1" applyFill="1" applyBorder="1" applyProtection="1">
      <protection hidden="1"/>
    </xf>
    <xf numFmtId="0" fontId="3" fillId="0" borderId="0" xfId="0" applyFont="1" applyBorder="1" applyAlignment="1" applyProtection="1">
      <alignment horizontal="right"/>
      <protection hidden="1"/>
    </xf>
    <xf numFmtId="0" fontId="3" fillId="0" borderId="0" xfId="0" applyFont="1" applyProtection="1">
      <protection hidden="1"/>
    </xf>
    <xf numFmtId="0" fontId="0" fillId="0" borderId="0" xfId="0" applyFill="1" applyBorder="1" applyProtection="1">
      <protection hidden="1"/>
    </xf>
    <xf numFmtId="0" fontId="3" fillId="28" borderId="35" xfId="0" applyFont="1" applyFill="1" applyBorder="1" applyAlignment="1" applyProtection="1">
      <alignment horizontal="center"/>
      <protection hidden="1"/>
    </xf>
    <xf numFmtId="0" fontId="9" fillId="25" borderId="23" xfId="0" applyFont="1" applyFill="1" applyBorder="1" applyAlignment="1" applyProtection="1">
      <alignment horizontal="left" vertical="center"/>
      <protection hidden="1"/>
    </xf>
    <xf numFmtId="0" fontId="9" fillId="25" borderId="38" xfId="0" applyFont="1" applyFill="1" applyBorder="1" applyAlignment="1" applyProtection="1">
      <alignment horizontal="left" vertical="center"/>
      <protection hidden="1"/>
    </xf>
    <xf numFmtId="165" fontId="3" fillId="28" borderId="44" xfId="0" applyNumberFormat="1" applyFont="1" applyFill="1" applyBorder="1" applyAlignment="1" applyProtection="1">
      <alignment horizontal="center"/>
      <protection hidden="1"/>
    </xf>
    <xf numFmtId="0" fontId="9" fillId="0" borderId="40" xfId="0" applyFont="1" applyBorder="1" applyAlignment="1" applyProtection="1">
      <alignment horizontal="left" vertical="center"/>
      <protection hidden="1"/>
    </xf>
    <xf numFmtId="0" fontId="9" fillId="0" borderId="10" xfId="0" applyFont="1" applyBorder="1" applyAlignment="1" applyProtection="1">
      <alignment horizontal="left" vertical="center"/>
      <protection hidden="1"/>
    </xf>
    <xf numFmtId="165" fontId="3" fillId="28" borderId="10" xfId="0" applyNumberFormat="1" applyFont="1" applyFill="1" applyBorder="1" applyAlignment="1" applyProtection="1">
      <alignment horizontal="center"/>
      <protection hidden="1"/>
    </xf>
    <xf numFmtId="0" fontId="9" fillId="25" borderId="40" xfId="0" applyFont="1" applyFill="1" applyBorder="1" applyAlignment="1" applyProtection="1">
      <alignment horizontal="left" vertical="center"/>
      <protection hidden="1"/>
    </xf>
    <xf numFmtId="0" fontId="9" fillId="25" borderId="10" xfId="0" applyFont="1" applyFill="1" applyBorder="1" applyAlignment="1" applyProtection="1">
      <alignment horizontal="left" vertical="center"/>
      <protection hidden="1"/>
    </xf>
    <xf numFmtId="0" fontId="9" fillId="0" borderId="40"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25" borderId="45" xfId="0" applyFont="1" applyFill="1" applyBorder="1" applyAlignment="1" applyProtection="1">
      <alignment horizontal="center" vertical="center"/>
      <protection hidden="1"/>
    </xf>
    <xf numFmtId="0" fontId="9" fillId="25" borderId="32" xfId="0" applyFont="1" applyFill="1" applyBorder="1" applyAlignment="1" applyProtection="1">
      <alignment horizontal="center" vertical="center"/>
      <protection hidden="1"/>
    </xf>
    <xf numFmtId="0" fontId="0" fillId="25" borderId="32" xfId="0" applyFill="1" applyBorder="1" applyAlignment="1" applyProtection="1">
      <alignment horizontal="center"/>
      <protection hidden="1"/>
    </xf>
    <xf numFmtId="165" fontId="3" fillId="26" borderId="46" xfId="0" applyNumberFormat="1" applyFont="1" applyFill="1" applyBorder="1" applyAlignment="1" applyProtection="1">
      <alignment horizontal="center"/>
      <protection hidden="1"/>
    </xf>
    <xf numFmtId="165" fontId="3" fillId="28" borderId="32" xfId="0" applyNumberFormat="1" applyFont="1" applyFill="1" applyBorder="1" applyAlignment="1" applyProtection="1">
      <alignment horizontal="center"/>
      <protection hidden="1"/>
    </xf>
    <xf numFmtId="165" fontId="0" fillId="0" borderId="0" xfId="0" applyNumberForma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165" fontId="3" fillId="0" borderId="0" xfId="0" applyNumberFormat="1" applyFont="1" applyFill="1" applyBorder="1" applyAlignment="1" applyProtection="1">
      <alignment horizontal="center"/>
      <protection hidden="1"/>
    </xf>
    <xf numFmtId="165" fontId="0" fillId="23" borderId="0" xfId="0" applyNumberFormat="1" applyFill="1" applyBorder="1" applyProtection="1">
      <protection hidden="1"/>
    </xf>
    <xf numFmtId="0" fontId="0" fillId="0" borderId="16" xfId="0" applyBorder="1" applyProtection="1">
      <protection hidden="1"/>
    </xf>
    <xf numFmtId="0" fontId="0" fillId="0" borderId="17" xfId="0" applyBorder="1" applyProtection="1">
      <protection hidden="1"/>
    </xf>
    <xf numFmtId="0" fontId="0" fillId="0" borderId="17" xfId="0" applyNumberFormat="1" applyBorder="1" applyProtection="1">
      <protection hidden="1"/>
    </xf>
    <xf numFmtId="0" fontId="0" fillId="0" borderId="18" xfId="0" applyBorder="1" applyProtection="1">
      <protection hidden="1"/>
    </xf>
    <xf numFmtId="0" fontId="0" fillId="0" borderId="0" xfId="0" applyNumberFormat="1" applyProtection="1">
      <protection hidden="1"/>
    </xf>
    <xf numFmtId="0" fontId="7" fillId="23" borderId="0" xfId="0" applyFont="1" applyFill="1" applyProtection="1">
      <protection hidden="1"/>
    </xf>
    <xf numFmtId="0" fontId="4" fillId="0" borderId="0" xfId="0" applyFont="1" applyFill="1" applyProtection="1">
      <protection hidden="1"/>
    </xf>
    <xf numFmtId="0" fontId="4" fillId="0" borderId="0" xfId="0" applyFont="1" applyProtection="1">
      <protection hidden="1"/>
    </xf>
    <xf numFmtId="0" fontId="3" fillId="0" borderId="19"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1" xfId="0" applyFont="1" applyBorder="1" applyAlignment="1" applyProtection="1">
      <alignment horizontal="center"/>
      <protection hidden="1"/>
    </xf>
    <xf numFmtId="0" fontId="3" fillId="0" borderId="22" xfId="0" applyFont="1" applyBorder="1" applyAlignment="1" applyProtection="1">
      <alignment horizontal="center"/>
      <protection hidden="1"/>
    </xf>
    <xf numFmtId="0" fontId="0" fillId="0" borderId="40" xfId="0" applyBorder="1" applyAlignment="1" applyProtection="1">
      <alignment horizontal="left" vertical="center"/>
      <protection hidden="1"/>
    </xf>
    <xf numFmtId="0" fontId="0" fillId="0" borderId="25" xfId="0" applyBorder="1" applyAlignment="1" applyProtection="1">
      <alignment horizontal="left" vertical="center"/>
      <protection hidden="1"/>
    </xf>
    <xf numFmtId="2" fontId="8" fillId="0" borderId="10" xfId="0" applyNumberFormat="1" applyFont="1" applyBorder="1" applyAlignment="1" applyProtection="1">
      <alignment horizontal="center" vertical="center"/>
      <protection hidden="1"/>
    </xf>
    <xf numFmtId="1" fontId="10" fillId="0" borderId="10" xfId="0" applyNumberFormat="1" applyFont="1" applyBorder="1" applyAlignment="1" applyProtection="1">
      <alignment horizontal="center" vertical="center"/>
      <protection hidden="1"/>
    </xf>
    <xf numFmtId="2" fontId="4" fillId="0" borderId="10" xfId="0" applyNumberFormat="1" applyFont="1" applyFill="1" applyBorder="1" applyAlignment="1" applyProtection="1">
      <alignment horizontal="center" vertical="center"/>
      <protection hidden="1"/>
    </xf>
    <xf numFmtId="2" fontId="11" fillId="0" borderId="10" xfId="0" applyNumberFormat="1" applyFont="1" applyBorder="1" applyAlignment="1" applyProtection="1">
      <alignment horizontal="center" vertical="center"/>
      <protection hidden="1"/>
    </xf>
    <xf numFmtId="3" fontId="2" fillId="0" borderId="10" xfId="45" applyNumberFormat="1" applyBorder="1" applyAlignment="1" applyProtection="1">
      <alignment horizontal="center" vertical="center"/>
      <protection hidden="1"/>
    </xf>
    <xf numFmtId="1" fontId="0" fillId="0" borderId="10" xfId="0" applyNumberFormat="1" applyBorder="1" applyAlignment="1" applyProtection="1">
      <alignment horizontal="center" vertical="center"/>
      <protection hidden="1"/>
    </xf>
    <xf numFmtId="0" fontId="0" fillId="0" borderId="10" xfId="0" applyBorder="1" applyAlignment="1" applyProtection="1">
      <alignment horizontal="center"/>
      <protection hidden="1"/>
    </xf>
    <xf numFmtId="0" fontId="0" fillId="0" borderId="31" xfId="0" applyBorder="1" applyAlignment="1" applyProtection="1">
      <alignment horizontal="center"/>
      <protection hidden="1"/>
    </xf>
    <xf numFmtId="2" fontId="4" fillId="0" borderId="10" xfId="0" applyNumberFormat="1" applyFont="1" applyBorder="1" applyAlignment="1" applyProtection="1">
      <alignment horizontal="center" vertical="center"/>
      <protection hidden="1"/>
    </xf>
    <xf numFmtId="1" fontId="10" fillId="0" borderId="10" xfId="0" applyNumberFormat="1" applyFont="1" applyBorder="1" applyAlignment="1" applyProtection="1">
      <alignment horizontal="center"/>
      <protection hidden="1"/>
    </xf>
    <xf numFmtId="0" fontId="4" fillId="0" borderId="10" xfId="0" applyFont="1" applyBorder="1" applyAlignment="1" applyProtection="1">
      <alignment horizontal="center"/>
      <protection hidden="1"/>
    </xf>
    <xf numFmtId="0" fontId="11" fillId="0" borderId="10" xfId="0" applyFont="1" applyBorder="1" applyAlignment="1" applyProtection="1">
      <alignment horizontal="center"/>
      <protection hidden="1"/>
    </xf>
    <xf numFmtId="0" fontId="0" fillId="0" borderId="45" xfId="0" applyBorder="1" applyAlignment="1" applyProtection="1">
      <alignment horizontal="left" vertical="center"/>
      <protection hidden="1"/>
    </xf>
    <xf numFmtId="0" fontId="0" fillId="0" borderId="47" xfId="0" applyBorder="1" applyAlignment="1" applyProtection="1">
      <alignment horizontal="left" vertical="center"/>
      <protection hidden="1"/>
    </xf>
    <xf numFmtId="2" fontId="8" fillId="0" borderId="32" xfId="0" applyNumberFormat="1" applyFont="1" applyBorder="1" applyAlignment="1" applyProtection="1">
      <alignment horizontal="center" vertical="center"/>
      <protection hidden="1"/>
    </xf>
    <xf numFmtId="1" fontId="10" fillId="0" borderId="32" xfId="0" applyNumberFormat="1" applyFont="1" applyBorder="1" applyAlignment="1" applyProtection="1">
      <alignment horizontal="center"/>
      <protection hidden="1"/>
    </xf>
    <xf numFmtId="0" fontId="4" fillId="0" borderId="32" xfId="0" applyFont="1" applyBorder="1" applyAlignment="1" applyProtection="1">
      <alignment horizontal="center"/>
      <protection hidden="1"/>
    </xf>
    <xf numFmtId="0" fontId="11" fillId="0" borderId="32" xfId="0" applyFont="1" applyBorder="1" applyAlignment="1" applyProtection="1">
      <alignment horizontal="center"/>
      <protection hidden="1"/>
    </xf>
    <xf numFmtId="0" fontId="0" fillId="0" borderId="32" xfId="0" applyBorder="1" applyAlignment="1" applyProtection="1">
      <alignment horizontal="center"/>
      <protection hidden="1"/>
    </xf>
    <xf numFmtId="0" fontId="0" fillId="0" borderId="33" xfId="0" applyBorder="1" applyAlignment="1" applyProtection="1">
      <alignment horizontal="center"/>
      <protection hidden="1"/>
    </xf>
    <xf numFmtId="0" fontId="0" fillId="0" borderId="0" xfId="0" applyBorder="1" applyAlignment="1" applyProtection="1">
      <alignment horizontal="left" vertical="center"/>
      <protection hidden="1"/>
    </xf>
    <xf numFmtId="165" fontId="0" fillId="0" borderId="0" xfId="0" applyNumberFormat="1" applyAlignment="1" applyProtection="1">
      <alignment horizontal="center"/>
      <protection hidden="1"/>
    </xf>
    <xf numFmtId="0" fontId="3" fillId="24" borderId="48" xfId="0" applyFont="1" applyFill="1" applyBorder="1" applyAlignment="1" applyProtection="1">
      <alignment horizontal="center"/>
      <protection locked="0" hidden="1"/>
    </xf>
    <xf numFmtId="0" fontId="3" fillId="0" borderId="14" xfId="0" applyFont="1" applyBorder="1" applyAlignment="1" applyProtection="1">
      <alignment horizontal="right"/>
      <protection hidden="1"/>
    </xf>
    <xf numFmtId="0" fontId="9" fillId="25" borderId="49" xfId="0" applyFont="1" applyFill="1" applyBorder="1" applyAlignment="1" applyProtection="1">
      <alignment horizontal="center"/>
      <protection hidden="1"/>
    </xf>
    <xf numFmtId="0" fontId="9" fillId="25" borderId="39" xfId="0" applyFont="1" applyFill="1" applyBorder="1" applyAlignment="1" applyProtection="1">
      <alignment horizontal="center"/>
      <protection hidden="1"/>
    </xf>
    <xf numFmtId="1" fontId="3" fillId="27" borderId="27" xfId="0" applyNumberFormat="1" applyFont="1" applyFill="1" applyBorder="1" applyAlignment="1" applyProtection="1">
      <alignment horizontal="center"/>
      <protection hidden="1"/>
    </xf>
    <xf numFmtId="0" fontId="9" fillId="34" borderId="40" xfId="0" applyFont="1" applyFill="1" applyBorder="1" applyAlignment="1" applyProtection="1">
      <alignment horizontal="center"/>
      <protection hidden="1"/>
    </xf>
    <xf numFmtId="0" fontId="9" fillId="0" borderId="43" xfId="0" applyFont="1" applyFill="1" applyBorder="1" applyAlignment="1" applyProtection="1">
      <alignment horizontal="center"/>
      <protection hidden="1"/>
    </xf>
    <xf numFmtId="0" fontId="9" fillId="25" borderId="40" xfId="0" applyFont="1" applyFill="1" applyBorder="1" applyAlignment="1" applyProtection="1">
      <alignment horizontal="center"/>
      <protection hidden="1"/>
    </xf>
    <xf numFmtId="0" fontId="9" fillId="25" borderId="10" xfId="0" applyFont="1" applyFill="1" applyBorder="1" applyAlignment="1" applyProtection="1">
      <alignment horizontal="center"/>
      <protection hidden="1"/>
    </xf>
    <xf numFmtId="0" fontId="9" fillId="25" borderId="25" xfId="0" applyFont="1" applyFill="1" applyBorder="1" applyAlignment="1" applyProtection="1">
      <alignment horizontal="center"/>
      <protection hidden="1"/>
    </xf>
    <xf numFmtId="0" fontId="34" fillId="0" borderId="0" xfId="0" applyFont="1" applyAlignment="1" applyProtection="1">
      <alignment horizontal="center" vertical="center" readingOrder="1"/>
      <protection hidden="1"/>
    </xf>
    <xf numFmtId="0" fontId="9" fillId="0" borderId="40" xfId="0" applyFont="1" applyFill="1" applyBorder="1" applyAlignment="1" applyProtection="1">
      <alignment horizontal="center"/>
      <protection hidden="1"/>
    </xf>
    <xf numFmtId="49" fontId="9" fillId="0" borderId="0" xfId="0" applyNumberFormat="1" applyFont="1" applyProtection="1">
      <protection hidden="1"/>
    </xf>
    <xf numFmtId="0" fontId="9" fillId="0" borderId="25" xfId="0" applyFont="1" applyFill="1" applyBorder="1" applyAlignment="1" applyProtection="1">
      <alignment horizontal="center"/>
      <protection hidden="1"/>
    </xf>
    <xf numFmtId="0" fontId="9" fillId="25" borderId="24" xfId="0" applyFont="1" applyFill="1" applyBorder="1" applyAlignment="1" applyProtection="1">
      <alignment horizontal="left" vertical="center"/>
      <protection hidden="1"/>
    </xf>
    <xf numFmtId="2" fontId="2" fillId="0" borderId="10" xfId="45" applyNumberFormat="1" applyBorder="1" applyAlignment="1" applyProtection="1">
      <alignment horizontal="center" vertical="center"/>
      <protection hidden="1"/>
    </xf>
    <xf numFmtId="2" fontId="0" fillId="0" borderId="10" xfId="0" applyNumberFormat="1" applyBorder="1" applyAlignment="1" applyProtection="1">
      <alignment horizontal="center" vertical="center"/>
      <protection hidden="1"/>
    </xf>
    <xf numFmtId="0" fontId="9" fillId="0" borderId="40" xfId="0" applyFont="1" applyFill="1" applyBorder="1" applyAlignment="1" applyProtection="1">
      <alignment horizontal="left" vertical="center"/>
      <protection hidden="1"/>
    </xf>
    <xf numFmtId="0" fontId="9" fillId="0" borderId="25" xfId="0" applyFont="1" applyFill="1" applyBorder="1" applyAlignment="1" applyProtection="1">
      <alignment horizontal="left" vertical="center"/>
      <protection hidden="1"/>
    </xf>
    <xf numFmtId="0" fontId="9" fillId="25" borderId="25" xfId="0" applyFont="1" applyFill="1" applyBorder="1" applyAlignment="1" applyProtection="1">
      <alignment horizontal="left" vertical="center"/>
      <protection hidden="1"/>
    </xf>
    <xf numFmtId="0" fontId="9" fillId="0" borderId="0" xfId="0" applyFont="1" applyProtection="1">
      <protection hidden="1"/>
    </xf>
    <xf numFmtId="0" fontId="29" fillId="0" borderId="50" xfId="0" applyFont="1" applyFill="1" applyBorder="1" applyAlignment="1" applyProtection="1">
      <alignment horizontal="right"/>
      <protection hidden="1"/>
    </xf>
    <xf numFmtId="0" fontId="0" fillId="0" borderId="50" xfId="0" applyBorder="1" applyProtection="1">
      <protection hidden="1"/>
    </xf>
    <xf numFmtId="0" fontId="0" fillId="0" borderId="51" xfId="0" applyBorder="1" applyProtection="1">
      <protection hidden="1"/>
    </xf>
    <xf numFmtId="0" fontId="6" fillId="0" borderId="0" xfId="0" applyFont="1" applyFill="1" applyBorder="1" applyAlignment="1" applyProtection="1">
      <alignment horizontal="left"/>
      <protection hidden="1"/>
    </xf>
    <xf numFmtId="0" fontId="0" fillId="0" borderId="52" xfId="0" applyBorder="1" applyProtection="1">
      <protection hidden="1"/>
    </xf>
    <xf numFmtId="0" fontId="30" fillId="0" borderId="0" xfId="0" applyFont="1" applyBorder="1" applyAlignment="1" applyProtection="1">
      <alignment horizontal="center"/>
      <protection hidden="1"/>
    </xf>
    <xf numFmtId="0" fontId="0" fillId="0" borderId="0" xfId="0" applyBorder="1" applyAlignment="1" applyProtection="1">
      <alignment horizontal="center"/>
      <protection hidden="1"/>
    </xf>
    <xf numFmtId="0" fontId="30" fillId="0" borderId="52" xfId="0" applyFont="1" applyBorder="1" applyProtection="1">
      <protection hidden="1"/>
    </xf>
    <xf numFmtId="0" fontId="30" fillId="0" borderId="0" xfId="0" applyFont="1" applyBorder="1" applyProtection="1">
      <protection hidden="1"/>
    </xf>
    <xf numFmtId="0" fontId="3" fillId="26" borderId="53" xfId="0" applyFont="1" applyFill="1" applyBorder="1" applyProtection="1">
      <protection hidden="1"/>
    </xf>
    <xf numFmtId="0" fontId="3" fillId="26" borderId="0" xfId="0" applyFont="1" applyFill="1" applyBorder="1" applyProtection="1">
      <protection hidden="1"/>
    </xf>
    <xf numFmtId="0" fontId="3" fillId="26" borderId="52" xfId="0" applyFont="1" applyFill="1" applyBorder="1" applyProtection="1">
      <protection hidden="1"/>
    </xf>
    <xf numFmtId="0" fontId="3" fillId="26" borderId="54" xfId="0" applyFont="1" applyFill="1" applyBorder="1" applyAlignment="1" applyProtection="1">
      <alignment horizontal="center"/>
      <protection hidden="1"/>
    </xf>
    <xf numFmtId="0" fontId="3" fillId="26" borderId="55" xfId="0" applyFont="1" applyFill="1" applyBorder="1" applyAlignment="1" applyProtection="1">
      <alignment horizontal="center"/>
      <protection hidden="1"/>
    </xf>
    <xf numFmtId="0" fontId="30" fillId="0" borderId="52" xfId="0" applyFont="1" applyFill="1" applyBorder="1" applyAlignment="1" applyProtection="1">
      <alignment horizontal="center"/>
      <protection hidden="1"/>
    </xf>
    <xf numFmtId="0" fontId="30" fillId="0" borderId="0" xfId="0" applyFont="1" applyFill="1" applyBorder="1" applyAlignment="1" applyProtection="1">
      <alignment horizontal="center"/>
      <protection hidden="1"/>
    </xf>
    <xf numFmtId="0" fontId="3" fillId="0" borderId="0" xfId="0" applyFont="1" applyFill="1" applyBorder="1" applyAlignment="1" applyProtection="1">
      <protection hidden="1"/>
    </xf>
    <xf numFmtId="0" fontId="3" fillId="26" borderId="56" xfId="0" applyFont="1" applyFill="1" applyBorder="1" applyProtection="1">
      <protection hidden="1"/>
    </xf>
    <xf numFmtId="0" fontId="3" fillId="26" borderId="34" xfId="0" applyFont="1" applyFill="1" applyBorder="1" applyProtection="1">
      <protection hidden="1"/>
    </xf>
    <xf numFmtId="0" fontId="3" fillId="26" borderId="57" xfId="0" applyFont="1" applyFill="1" applyBorder="1" applyProtection="1">
      <protection hidden="1"/>
    </xf>
    <xf numFmtId="0" fontId="3" fillId="26" borderId="58" xfId="0" applyFont="1" applyFill="1" applyBorder="1" applyAlignment="1" applyProtection="1">
      <alignment horizontal="center"/>
      <protection hidden="1"/>
    </xf>
    <xf numFmtId="0" fontId="3" fillId="26" borderId="59" xfId="0" applyFont="1" applyFill="1" applyBorder="1" applyAlignment="1" applyProtection="1">
      <alignment horizontal="center"/>
      <protection hidden="1"/>
    </xf>
    <xf numFmtId="0" fontId="3" fillId="0" borderId="0" xfId="0" applyFont="1" applyFill="1" applyBorder="1" applyAlignment="1" applyProtection="1">
      <alignment horizontal="left"/>
      <protection hidden="1"/>
    </xf>
    <xf numFmtId="0" fontId="3" fillId="0" borderId="0" xfId="0" applyFont="1" applyFill="1" applyBorder="1" applyProtection="1">
      <protection hidden="1"/>
    </xf>
    <xf numFmtId="0" fontId="3" fillId="0" borderId="15" xfId="0" applyFont="1" applyFill="1" applyBorder="1" applyProtection="1">
      <protection hidden="1"/>
    </xf>
    <xf numFmtId="0" fontId="3" fillId="0" borderId="60" xfId="0" applyFont="1" applyFill="1" applyBorder="1" applyAlignment="1" applyProtection="1">
      <alignment horizontal="left"/>
      <protection hidden="1"/>
    </xf>
    <xf numFmtId="0" fontId="3" fillId="0" borderId="38" xfId="0" applyFont="1" applyBorder="1" applyAlignment="1" applyProtection="1">
      <alignment horizontal="center"/>
      <protection hidden="1"/>
    </xf>
    <xf numFmtId="0" fontId="3" fillId="0" borderId="61" xfId="0" applyFont="1" applyBorder="1" applyAlignment="1" applyProtection="1">
      <alignment horizontal="center"/>
      <protection hidden="1"/>
    </xf>
    <xf numFmtId="0" fontId="3" fillId="28" borderId="62" xfId="0" applyFont="1" applyFill="1" applyBorder="1" applyProtection="1">
      <protection hidden="1"/>
    </xf>
    <xf numFmtId="0" fontId="3" fillId="28" borderId="63" xfId="0" applyFont="1" applyFill="1" applyBorder="1" applyProtection="1">
      <protection hidden="1"/>
    </xf>
    <xf numFmtId="0" fontId="3" fillId="28" borderId="48" xfId="0" applyFont="1" applyFill="1" applyBorder="1" applyAlignment="1" applyProtection="1">
      <alignment horizontal="center"/>
      <protection hidden="1"/>
    </xf>
    <xf numFmtId="166" fontId="3" fillId="28" borderId="64" xfId="51" applyNumberFormat="1" applyFont="1" applyFill="1" applyBorder="1" applyAlignment="1" applyProtection="1">
      <alignment horizontal="center"/>
      <protection hidden="1"/>
    </xf>
    <xf numFmtId="0" fontId="3" fillId="0" borderId="65" xfId="0" applyFont="1" applyFill="1" applyBorder="1" applyAlignment="1" applyProtection="1">
      <alignment horizontal="left"/>
      <protection hidden="1"/>
    </xf>
    <xf numFmtId="0" fontId="3" fillId="0" borderId="10" xfId="0" applyFont="1" applyFill="1" applyBorder="1" applyAlignment="1" applyProtection="1">
      <alignment horizontal="center"/>
      <protection hidden="1"/>
    </xf>
    <xf numFmtId="0" fontId="3" fillId="0" borderId="66" xfId="0" applyFont="1" applyFill="1" applyBorder="1" applyAlignment="1" applyProtection="1">
      <alignment horizontal="center"/>
      <protection hidden="1"/>
    </xf>
    <xf numFmtId="0" fontId="3" fillId="0" borderId="67" xfId="0" applyFont="1" applyFill="1" applyBorder="1" applyAlignment="1" applyProtection="1">
      <alignment horizontal="left"/>
      <protection hidden="1"/>
    </xf>
    <xf numFmtId="0" fontId="3" fillId="0" borderId="35" xfId="0" applyFont="1" applyFill="1" applyBorder="1" applyAlignment="1" applyProtection="1">
      <alignment horizontal="center"/>
      <protection hidden="1"/>
    </xf>
    <xf numFmtId="3" fontId="3" fillId="0" borderId="68" xfId="0" applyNumberFormat="1" applyFont="1" applyFill="1" applyBorder="1" applyAlignment="1" applyProtection="1">
      <alignment horizontal="center"/>
      <protection hidden="1"/>
    </xf>
    <xf numFmtId="0" fontId="3" fillId="0" borderId="52" xfId="0" applyFont="1" applyFill="1" applyBorder="1" applyAlignment="1" applyProtection="1">
      <alignment horizontal="center"/>
      <protection hidden="1"/>
    </xf>
    <xf numFmtId="0" fontId="30" fillId="0" borderId="0" xfId="0" applyFont="1" applyFill="1" applyBorder="1" applyProtection="1">
      <protection hidden="1"/>
    </xf>
    <xf numFmtId="3" fontId="3" fillId="0" borderId="0" xfId="0" applyNumberFormat="1" applyFont="1" applyFill="1" applyBorder="1" applyAlignment="1" applyProtection="1">
      <alignment horizontal="center"/>
      <protection hidden="1"/>
    </xf>
    <xf numFmtId="0" fontId="0" fillId="0" borderId="15" xfId="0" applyFill="1" applyBorder="1" applyProtection="1">
      <protection hidden="1"/>
    </xf>
    <xf numFmtId="3" fontId="3" fillId="0" borderId="52" xfId="0" applyNumberFormat="1" applyFont="1" applyFill="1" applyBorder="1" applyAlignment="1" applyProtection="1">
      <alignment horizontal="center"/>
      <protection hidden="1"/>
    </xf>
    <xf numFmtId="0" fontId="3" fillId="27" borderId="62" xfId="0" applyFont="1" applyFill="1" applyBorder="1" applyAlignment="1" applyProtection="1">
      <alignment horizontal="center"/>
      <protection hidden="1"/>
    </xf>
    <xf numFmtId="0" fontId="3" fillId="27" borderId="69" xfId="0" applyFont="1" applyFill="1" applyBorder="1" applyAlignment="1" applyProtection="1">
      <alignment horizontal="center"/>
      <protection hidden="1"/>
    </xf>
    <xf numFmtId="0" fontId="3" fillId="0" borderId="15" xfId="0" applyFont="1" applyBorder="1" applyProtection="1">
      <protection hidden="1"/>
    </xf>
    <xf numFmtId="0" fontId="3" fillId="27" borderId="48" xfId="0" applyFont="1" applyFill="1" applyBorder="1" applyAlignment="1" applyProtection="1">
      <alignment horizontal="center"/>
      <protection hidden="1"/>
    </xf>
    <xf numFmtId="3" fontId="3" fillId="0" borderId="0" xfId="0" applyNumberFormat="1" applyFont="1" applyFill="1" applyBorder="1" applyProtection="1">
      <protection hidden="1"/>
    </xf>
    <xf numFmtId="0" fontId="3" fillId="0" borderId="70" xfId="0" applyFont="1" applyFill="1" applyBorder="1" applyAlignment="1" applyProtection="1">
      <alignment horizontal="center"/>
      <protection hidden="1"/>
    </xf>
    <xf numFmtId="0" fontId="3" fillId="0" borderId="71" xfId="0" applyFont="1" applyFill="1" applyBorder="1" applyAlignment="1" applyProtection="1">
      <alignment horizontal="center"/>
      <protection hidden="1"/>
    </xf>
    <xf numFmtId="0" fontId="3" fillId="0" borderId="72" xfId="0" applyFont="1" applyFill="1" applyBorder="1" applyAlignment="1" applyProtection="1">
      <alignment horizontal="center"/>
      <protection hidden="1"/>
    </xf>
    <xf numFmtId="3" fontId="3" fillId="0" borderId="73" xfId="0" applyNumberFormat="1" applyFont="1" applyFill="1" applyBorder="1" applyAlignment="1" applyProtection="1">
      <alignment horizontal="center"/>
      <protection hidden="1"/>
    </xf>
    <xf numFmtId="0" fontId="3" fillId="0" borderId="67" xfId="0" applyFont="1" applyFill="1" applyBorder="1" applyAlignment="1" applyProtection="1">
      <alignment horizontal="center"/>
      <protection hidden="1"/>
    </xf>
    <xf numFmtId="0" fontId="3" fillId="0" borderId="68" xfId="0" applyFont="1" applyFill="1" applyBorder="1" applyAlignment="1" applyProtection="1">
      <alignment horizontal="center"/>
      <protection hidden="1"/>
    </xf>
    <xf numFmtId="0" fontId="3" fillId="25" borderId="72" xfId="0" applyFont="1" applyFill="1" applyBorder="1" applyAlignment="1" applyProtection="1">
      <alignment horizontal="center"/>
      <protection hidden="1"/>
    </xf>
    <xf numFmtId="0" fontId="3" fillId="25" borderId="73" xfId="0" applyFont="1" applyFill="1" applyBorder="1" applyAlignment="1" applyProtection="1">
      <alignment horizontal="center"/>
      <protection hidden="1"/>
    </xf>
    <xf numFmtId="0" fontId="3" fillId="0" borderId="65" xfId="0" applyFont="1" applyFill="1" applyBorder="1" applyAlignment="1" applyProtection="1">
      <alignment horizontal="center"/>
      <protection hidden="1"/>
    </xf>
    <xf numFmtId="3" fontId="3" fillId="25" borderId="65" xfId="0" applyNumberFormat="1" applyFont="1" applyFill="1" applyBorder="1" applyAlignment="1" applyProtection="1">
      <alignment horizontal="center"/>
      <protection hidden="1"/>
    </xf>
    <xf numFmtId="0" fontId="3" fillId="25" borderId="66" xfId="0" applyFont="1" applyFill="1" applyBorder="1" applyAlignment="1" applyProtection="1">
      <alignment horizontal="center"/>
      <protection hidden="1"/>
    </xf>
    <xf numFmtId="3" fontId="3" fillId="0" borderId="65" xfId="0" applyNumberFormat="1" applyFont="1" applyFill="1" applyBorder="1" applyAlignment="1" applyProtection="1">
      <alignment horizontal="center"/>
      <protection hidden="1"/>
    </xf>
    <xf numFmtId="3" fontId="3" fillId="0" borderId="66" xfId="0" applyNumberFormat="1" applyFont="1" applyFill="1" applyBorder="1" applyAlignment="1" applyProtection="1">
      <alignment horizontal="center"/>
      <protection hidden="1"/>
    </xf>
    <xf numFmtId="3" fontId="3" fillId="25" borderId="66" xfId="0" applyNumberFormat="1" applyFont="1" applyFill="1" applyBorder="1" applyAlignment="1" applyProtection="1">
      <alignment horizontal="center"/>
      <protection hidden="1"/>
    </xf>
    <xf numFmtId="3" fontId="3" fillId="0" borderId="67" xfId="0" applyNumberFormat="1" applyFont="1" applyFill="1" applyBorder="1" applyAlignment="1" applyProtection="1">
      <alignment horizontal="center"/>
      <protection hidden="1"/>
    </xf>
    <xf numFmtId="0" fontId="0" fillId="0" borderId="16" xfId="0" applyFill="1" applyBorder="1" applyProtection="1">
      <protection hidden="1"/>
    </xf>
    <xf numFmtId="0" fontId="3" fillId="0" borderId="17" xfId="0" applyFont="1" applyFill="1" applyBorder="1" applyProtection="1">
      <protection hidden="1"/>
    </xf>
    <xf numFmtId="0" fontId="0" fillId="0" borderId="18" xfId="0" applyFill="1" applyBorder="1" applyProtection="1">
      <protection hidden="1"/>
    </xf>
    <xf numFmtId="3" fontId="3" fillId="0" borderId="0" xfId="0" quotePrefix="1" applyNumberFormat="1" applyFont="1" applyFill="1" applyBorder="1" applyAlignment="1" applyProtection="1">
      <alignment horizontal="center"/>
      <protection hidden="1"/>
    </xf>
    <xf numFmtId="0" fontId="0" fillId="0" borderId="53" xfId="0" applyFill="1" applyBorder="1" applyProtection="1">
      <protection hidden="1"/>
    </xf>
    <xf numFmtId="0" fontId="3" fillId="0" borderId="73" xfId="0" applyFont="1" applyFill="1" applyBorder="1" applyAlignment="1" applyProtection="1">
      <alignment horizontal="center"/>
      <protection hidden="1"/>
    </xf>
    <xf numFmtId="0" fontId="3" fillId="29" borderId="72" xfId="0" applyFont="1" applyFill="1" applyBorder="1" applyAlignment="1" applyProtection="1">
      <alignment horizontal="center"/>
      <protection hidden="1"/>
    </xf>
    <xf numFmtId="0" fontId="3" fillId="29" borderId="44" xfId="0" applyFont="1" applyFill="1" applyBorder="1" applyAlignment="1" applyProtection="1">
      <alignment horizontal="center"/>
      <protection hidden="1"/>
    </xf>
    <xf numFmtId="0" fontId="3" fillId="30" borderId="44" xfId="0" applyFont="1" applyFill="1" applyBorder="1" applyAlignment="1" applyProtection="1">
      <alignment horizontal="center"/>
      <protection hidden="1"/>
    </xf>
    <xf numFmtId="0" fontId="3" fillId="30" borderId="73" xfId="0" applyFont="1" applyFill="1" applyBorder="1" applyAlignment="1" applyProtection="1">
      <alignment horizontal="center"/>
      <protection hidden="1"/>
    </xf>
    <xf numFmtId="0" fontId="3" fillId="24" borderId="72" xfId="0" applyFont="1" applyFill="1" applyBorder="1" applyAlignment="1" applyProtection="1">
      <alignment horizontal="center"/>
      <protection hidden="1"/>
    </xf>
    <xf numFmtId="0" fontId="3" fillId="24" borderId="44" xfId="0" applyFont="1" applyFill="1" applyBorder="1" applyAlignment="1" applyProtection="1">
      <alignment horizontal="center"/>
      <protection hidden="1"/>
    </xf>
    <xf numFmtId="0" fontId="3" fillId="24" borderId="73" xfId="0" applyFont="1" applyFill="1" applyBorder="1" applyAlignment="1" applyProtection="1">
      <alignment horizontal="center"/>
      <protection hidden="1"/>
    </xf>
    <xf numFmtId="0" fontId="3" fillId="0" borderId="53" xfId="0" applyFont="1" applyFill="1" applyBorder="1" applyProtection="1">
      <protection hidden="1"/>
    </xf>
    <xf numFmtId="0" fontId="3" fillId="29" borderId="65" xfId="0" applyFont="1" applyFill="1" applyBorder="1" applyAlignment="1" applyProtection="1">
      <alignment horizontal="center"/>
      <protection hidden="1"/>
    </xf>
    <xf numFmtId="0" fontId="3" fillId="29" borderId="10" xfId="0" applyFont="1" applyFill="1" applyBorder="1" applyAlignment="1" applyProtection="1">
      <alignment horizontal="center"/>
      <protection hidden="1"/>
    </xf>
    <xf numFmtId="0" fontId="3" fillId="30" borderId="10" xfId="0" applyFont="1" applyFill="1" applyBorder="1" applyAlignment="1" applyProtection="1">
      <alignment horizontal="center"/>
      <protection hidden="1"/>
    </xf>
    <xf numFmtId="0" fontId="3" fillId="30" borderId="66" xfId="0" applyFont="1" applyFill="1" applyBorder="1" applyAlignment="1" applyProtection="1">
      <alignment horizontal="center"/>
      <protection hidden="1"/>
    </xf>
    <xf numFmtId="0" fontId="3" fillId="24" borderId="65" xfId="0" applyFont="1" applyFill="1" applyBorder="1" applyAlignment="1" applyProtection="1">
      <alignment horizontal="center"/>
      <protection hidden="1"/>
    </xf>
    <xf numFmtId="0" fontId="3" fillId="24" borderId="42" xfId="0" applyFont="1" applyFill="1" applyBorder="1" applyAlignment="1" applyProtection="1">
      <alignment horizontal="center"/>
      <protection hidden="1"/>
    </xf>
    <xf numFmtId="0" fontId="3" fillId="24" borderId="66" xfId="0" applyFont="1" applyFill="1" applyBorder="1" applyAlignment="1" applyProtection="1">
      <alignment horizontal="center"/>
      <protection hidden="1"/>
    </xf>
    <xf numFmtId="0" fontId="3" fillId="29" borderId="67" xfId="0" applyFont="1" applyFill="1" applyBorder="1" applyAlignment="1" applyProtection="1">
      <alignment horizontal="center"/>
      <protection hidden="1"/>
    </xf>
    <xf numFmtId="0" fontId="3" fillId="29" borderId="35" xfId="0" applyFont="1" applyFill="1" applyBorder="1" applyAlignment="1" applyProtection="1">
      <alignment horizontal="center"/>
      <protection hidden="1"/>
    </xf>
    <xf numFmtId="0" fontId="3" fillId="30" borderId="35" xfId="0" applyFont="1" applyFill="1" applyBorder="1" applyAlignment="1" applyProtection="1">
      <alignment horizontal="center"/>
      <protection hidden="1"/>
    </xf>
    <xf numFmtId="0" fontId="3" fillId="30" borderId="68" xfId="0" applyFont="1" applyFill="1" applyBorder="1" applyAlignment="1" applyProtection="1">
      <alignment horizontal="center"/>
      <protection hidden="1"/>
    </xf>
    <xf numFmtId="0" fontId="3" fillId="24" borderId="74" xfId="0" applyFont="1" applyFill="1" applyBorder="1" applyAlignment="1" applyProtection="1">
      <alignment horizontal="center"/>
      <protection hidden="1"/>
    </xf>
    <xf numFmtId="0" fontId="3" fillId="24" borderId="35" xfId="0" applyFont="1" applyFill="1" applyBorder="1" applyAlignment="1" applyProtection="1">
      <alignment horizontal="center"/>
      <protection hidden="1"/>
    </xf>
    <xf numFmtId="0" fontId="3" fillId="24" borderId="75" xfId="0" applyFont="1" applyFill="1" applyBorder="1" applyAlignment="1" applyProtection="1">
      <alignment horizontal="center"/>
      <protection hidden="1"/>
    </xf>
    <xf numFmtId="0" fontId="3" fillId="31" borderId="72" xfId="0" applyFont="1" applyFill="1" applyBorder="1" applyAlignment="1" applyProtection="1">
      <alignment horizontal="center"/>
      <protection hidden="1"/>
    </xf>
    <xf numFmtId="0" fontId="3" fillId="31" borderId="73" xfId="0" applyFont="1" applyFill="1" applyBorder="1" applyAlignment="1" applyProtection="1">
      <alignment horizontal="center"/>
      <protection hidden="1"/>
    </xf>
    <xf numFmtId="0" fontId="3" fillId="24" borderId="10" xfId="0" applyFont="1" applyFill="1" applyBorder="1" applyAlignment="1" applyProtection="1">
      <alignment horizontal="center"/>
      <protection hidden="1"/>
    </xf>
    <xf numFmtId="3" fontId="3" fillId="31" borderId="65" xfId="0" applyNumberFormat="1" applyFont="1" applyFill="1" applyBorder="1" applyAlignment="1" applyProtection="1">
      <alignment horizontal="center"/>
      <protection hidden="1"/>
    </xf>
    <xf numFmtId="0" fontId="3" fillId="31" borderId="66" xfId="0" applyFont="1" applyFill="1" applyBorder="1" applyAlignment="1" applyProtection="1">
      <alignment horizontal="center"/>
      <protection hidden="1"/>
    </xf>
    <xf numFmtId="3" fontId="3" fillId="29" borderId="65" xfId="0" applyNumberFormat="1" applyFont="1" applyFill="1" applyBorder="1" applyAlignment="1" applyProtection="1">
      <alignment horizontal="center"/>
      <protection hidden="1"/>
    </xf>
    <xf numFmtId="3" fontId="3" fillId="29" borderId="10" xfId="0" applyNumberFormat="1" applyFont="1" applyFill="1" applyBorder="1" applyAlignment="1" applyProtection="1">
      <alignment horizontal="center"/>
      <protection hidden="1"/>
    </xf>
    <xf numFmtId="3" fontId="3" fillId="30" borderId="10" xfId="0" applyNumberFormat="1" applyFont="1" applyFill="1" applyBorder="1" applyProtection="1">
      <protection hidden="1"/>
    </xf>
    <xf numFmtId="3" fontId="3" fillId="30" borderId="66" xfId="0" applyNumberFormat="1" applyFont="1" applyFill="1" applyBorder="1" applyAlignment="1" applyProtection="1">
      <alignment horizontal="center"/>
      <protection hidden="1"/>
    </xf>
    <xf numFmtId="3" fontId="3" fillId="30" borderId="10" xfId="0" applyNumberFormat="1" applyFont="1" applyFill="1" applyBorder="1" applyAlignment="1" applyProtection="1">
      <alignment horizontal="center"/>
      <protection hidden="1"/>
    </xf>
    <xf numFmtId="0" fontId="30" fillId="0" borderId="0" xfId="0" applyFont="1" applyFill="1" applyBorder="1" applyAlignment="1" applyProtection="1">
      <alignment horizontal="left"/>
      <protection hidden="1"/>
    </xf>
    <xf numFmtId="3" fontId="3" fillId="31" borderId="66" xfId="0" applyNumberFormat="1" applyFont="1" applyFill="1" applyBorder="1" applyAlignment="1" applyProtection="1">
      <alignment horizontal="center"/>
      <protection hidden="1"/>
    </xf>
    <xf numFmtId="0" fontId="3" fillId="0" borderId="53" xfId="0" applyFont="1" applyBorder="1" applyProtection="1">
      <protection hidden="1"/>
    </xf>
    <xf numFmtId="0" fontId="3" fillId="0" borderId="56" xfId="0" applyFont="1" applyBorder="1" applyProtection="1">
      <protection hidden="1"/>
    </xf>
    <xf numFmtId="0" fontId="3" fillId="24" borderId="67" xfId="0" applyFont="1" applyFill="1" applyBorder="1" applyAlignment="1" applyProtection="1">
      <alignment horizontal="center"/>
      <protection hidden="1"/>
    </xf>
    <xf numFmtId="0" fontId="3" fillId="24" borderId="68" xfId="0" applyFont="1" applyFill="1" applyBorder="1" applyAlignment="1" applyProtection="1">
      <alignment horizontal="center"/>
      <protection hidden="1"/>
    </xf>
    <xf numFmtId="0" fontId="0" fillId="0" borderId="34" xfId="0" applyFill="1" applyBorder="1" applyProtection="1">
      <protection hidden="1"/>
    </xf>
    <xf numFmtId="0" fontId="0" fillId="0" borderId="34" xfId="0" applyBorder="1" applyProtection="1">
      <protection hidden="1"/>
    </xf>
    <xf numFmtId="0" fontId="0" fillId="0" borderId="57" xfId="0" applyBorder="1" applyProtection="1">
      <protection hidden="1"/>
    </xf>
    <xf numFmtId="0" fontId="9" fillId="0" borderId="0" xfId="0" applyFont="1" applyFill="1" applyBorder="1" applyProtection="1">
      <protection hidden="1"/>
    </xf>
    <xf numFmtId="0" fontId="0" fillId="0" borderId="53" xfId="0" applyBorder="1" applyProtection="1">
      <protection hidden="1"/>
    </xf>
    <xf numFmtId="0" fontId="0" fillId="0" borderId="65" xfId="0" applyBorder="1" applyAlignment="1" applyProtection="1">
      <alignment horizontal="center"/>
      <protection hidden="1"/>
    </xf>
    <xf numFmtId="0" fontId="0" fillId="0" borderId="76" xfId="0" applyBorder="1" applyAlignment="1" applyProtection="1">
      <alignment horizontal="center"/>
      <protection hidden="1"/>
    </xf>
    <xf numFmtId="0" fontId="0" fillId="0" borderId="44" xfId="0" applyBorder="1" applyAlignment="1" applyProtection="1">
      <alignment horizontal="center"/>
      <protection hidden="1"/>
    </xf>
    <xf numFmtId="0" fontId="0" fillId="0" borderId="10" xfId="0" applyBorder="1" applyAlignment="1" applyProtection="1">
      <alignment horizontal="right"/>
      <protection hidden="1"/>
    </xf>
    <xf numFmtId="0" fontId="0" fillId="0" borderId="10" xfId="0" applyBorder="1" applyProtection="1">
      <protection hidden="1"/>
    </xf>
    <xf numFmtId="0" fontId="9" fillId="0" borderId="76" xfId="0" applyFont="1" applyBorder="1" applyAlignment="1" applyProtection="1">
      <alignment horizontal="center"/>
      <protection hidden="1"/>
    </xf>
    <xf numFmtId="0" fontId="0" fillId="0" borderId="65" xfId="0" applyFill="1" applyBorder="1" applyProtection="1">
      <protection hidden="1"/>
    </xf>
    <xf numFmtId="0" fontId="0" fillId="0" borderId="10" xfId="0" applyFill="1" applyBorder="1" applyProtection="1">
      <protection hidden="1"/>
    </xf>
    <xf numFmtId="0" fontId="9" fillId="0" borderId="10" xfId="0" applyFont="1" applyBorder="1" applyAlignment="1" applyProtection="1">
      <alignment horizontal="center"/>
      <protection hidden="1"/>
    </xf>
    <xf numFmtId="0" fontId="0" fillId="0" borderId="76" xfId="0" applyBorder="1" applyProtection="1">
      <protection hidden="1"/>
    </xf>
    <xf numFmtId="0" fontId="9" fillId="0" borderId="53" xfId="0" applyFont="1" applyBorder="1" applyProtection="1">
      <protection hidden="1"/>
    </xf>
    <xf numFmtId="0" fontId="9" fillId="0" borderId="65" xfId="0" applyFont="1" applyBorder="1" applyAlignment="1" applyProtection="1">
      <alignment horizontal="center"/>
      <protection hidden="1"/>
    </xf>
    <xf numFmtId="0" fontId="9" fillId="0" borderId="10" xfId="0" quotePrefix="1" applyFont="1" applyBorder="1" applyAlignment="1" applyProtection="1">
      <alignment horizontal="center"/>
      <protection hidden="1"/>
    </xf>
    <xf numFmtId="0" fontId="9" fillId="0" borderId="65" xfId="0" quotePrefix="1" applyFont="1" applyBorder="1" applyAlignment="1" applyProtection="1">
      <alignment horizontal="center"/>
      <protection hidden="1"/>
    </xf>
    <xf numFmtId="0" fontId="9" fillId="0" borderId="67" xfId="0" applyFont="1" applyBorder="1" applyAlignment="1" applyProtection="1">
      <alignment horizontal="center"/>
      <protection hidden="1"/>
    </xf>
    <xf numFmtId="0" fontId="0" fillId="0" borderId="35" xfId="0" applyBorder="1" applyProtection="1">
      <protection hidden="1"/>
    </xf>
    <xf numFmtId="0" fontId="0" fillId="0" borderId="35" xfId="0" applyFill="1" applyBorder="1" applyProtection="1">
      <protection hidden="1"/>
    </xf>
    <xf numFmtId="0" fontId="0" fillId="0" borderId="67" xfId="0" applyFill="1" applyBorder="1" applyProtection="1">
      <protection hidden="1"/>
    </xf>
    <xf numFmtId="0" fontId="30" fillId="24" borderId="65" xfId="0" applyFont="1" applyFill="1" applyBorder="1" applyAlignment="1" applyProtection="1">
      <alignment horizontal="center"/>
      <protection hidden="1"/>
    </xf>
    <xf numFmtId="0" fontId="30" fillId="27" borderId="10" xfId="0" applyFont="1" applyFill="1" applyBorder="1" applyAlignment="1" applyProtection="1">
      <alignment horizontal="center"/>
      <protection hidden="1"/>
    </xf>
    <xf numFmtId="0" fontId="0" fillId="0" borderId="14" xfId="0" applyFill="1" applyBorder="1" applyProtection="1">
      <protection hidden="1"/>
    </xf>
    <xf numFmtId="0" fontId="3" fillId="27" borderId="10" xfId="0" applyFont="1" applyFill="1" applyBorder="1" applyAlignment="1" applyProtection="1">
      <alignment horizontal="center"/>
      <protection hidden="1"/>
    </xf>
    <xf numFmtId="0" fontId="3" fillId="26" borderId="10" xfId="0" applyFont="1" applyFill="1" applyBorder="1" applyAlignment="1" applyProtection="1">
      <alignment horizontal="center"/>
      <protection hidden="1"/>
    </xf>
    <xf numFmtId="0" fontId="3" fillId="26" borderId="66" xfId="0" applyFont="1" applyFill="1" applyBorder="1" applyAlignment="1" applyProtection="1">
      <alignment horizontal="center"/>
      <protection hidden="1"/>
    </xf>
    <xf numFmtId="0" fontId="30" fillId="0" borderId="53" xfId="0" applyFont="1" applyBorder="1" applyAlignment="1" applyProtection="1">
      <alignment horizontal="center"/>
      <protection hidden="1"/>
    </xf>
    <xf numFmtId="3" fontId="3" fillId="24" borderId="65" xfId="0" applyNumberFormat="1" applyFont="1" applyFill="1" applyBorder="1" applyAlignment="1" applyProtection="1">
      <alignment horizontal="center"/>
      <protection hidden="1"/>
    </xf>
    <xf numFmtId="3" fontId="3" fillId="27" borderId="10" xfId="0" applyNumberFormat="1" applyFont="1" applyFill="1" applyBorder="1" applyAlignment="1" applyProtection="1">
      <alignment horizontal="center"/>
      <protection hidden="1"/>
    </xf>
    <xf numFmtId="3" fontId="3" fillId="26" borderId="10" xfId="0" applyNumberFormat="1" applyFont="1" applyFill="1" applyBorder="1" applyAlignment="1" applyProtection="1">
      <alignment horizontal="center"/>
      <protection hidden="1"/>
    </xf>
    <xf numFmtId="3" fontId="3" fillId="26" borderId="66" xfId="0" applyNumberFormat="1" applyFont="1" applyFill="1" applyBorder="1" applyAlignment="1" applyProtection="1">
      <alignment horizontal="center"/>
      <protection hidden="1"/>
    </xf>
    <xf numFmtId="3" fontId="3" fillId="0" borderId="0" xfId="0" applyNumberFormat="1" applyFont="1" applyBorder="1" applyProtection="1">
      <protection hidden="1"/>
    </xf>
    <xf numFmtId="3" fontId="3" fillId="24" borderId="67" xfId="0" quotePrefix="1" applyNumberFormat="1" applyFont="1" applyFill="1" applyBorder="1" applyAlignment="1" applyProtection="1">
      <alignment horizontal="center"/>
      <protection hidden="1"/>
    </xf>
    <xf numFmtId="3" fontId="3" fillId="27" borderId="35" xfId="0" applyNumberFormat="1" applyFont="1" applyFill="1" applyBorder="1" applyAlignment="1" applyProtection="1">
      <alignment horizontal="center"/>
      <protection hidden="1"/>
    </xf>
    <xf numFmtId="3" fontId="3" fillId="26" borderId="35" xfId="0" applyNumberFormat="1" applyFont="1" applyFill="1" applyBorder="1" applyAlignment="1" applyProtection="1">
      <alignment horizontal="center"/>
      <protection hidden="1"/>
    </xf>
    <xf numFmtId="3" fontId="3" fillId="26" borderId="68" xfId="0" applyNumberFormat="1" applyFont="1" applyFill="1" applyBorder="1" applyAlignment="1" applyProtection="1">
      <alignment horizontal="center"/>
      <protection hidden="1"/>
    </xf>
    <xf numFmtId="3" fontId="3" fillId="24" borderId="67" xfId="0" applyNumberFormat="1" applyFont="1" applyFill="1" applyBorder="1" applyAlignment="1" applyProtection="1">
      <alignment horizontal="center"/>
      <protection hidden="1"/>
    </xf>
    <xf numFmtId="3" fontId="3" fillId="0" borderId="0" xfId="0" applyNumberFormat="1" applyFont="1" applyProtection="1">
      <protection hidden="1"/>
    </xf>
    <xf numFmtId="3" fontId="3" fillId="24" borderId="48" xfId="0" applyNumberFormat="1" applyFont="1" applyFill="1" applyBorder="1" applyAlignment="1" applyProtection="1">
      <alignment horizontal="center"/>
      <protection locked="0" hidden="1"/>
    </xf>
    <xf numFmtId="0" fontId="6" fillId="0" borderId="0" xfId="0" applyFont="1" applyFill="1" applyBorder="1" applyAlignment="1" applyProtection="1">
      <protection hidden="1"/>
    </xf>
    <xf numFmtId="0" fontId="30" fillId="0" borderId="0" xfId="0" applyFont="1" applyProtection="1">
      <protection hidden="1"/>
    </xf>
    <xf numFmtId="0" fontId="0" fillId="0" borderId="0" xfId="0" applyAlignment="1" applyProtection="1">
      <alignment horizontal="center"/>
      <protection hidden="1"/>
    </xf>
    <xf numFmtId="165" fontId="3" fillId="0" borderId="0" xfId="0" applyNumberFormat="1" applyFont="1" applyFill="1" applyBorder="1" applyAlignment="1" applyProtection="1">
      <alignment horizontal="left"/>
      <protection hidden="1"/>
    </xf>
    <xf numFmtId="0" fontId="3" fillId="0" borderId="0" xfId="0" applyFont="1" applyBorder="1" applyAlignment="1" applyProtection="1">
      <alignment horizontal="left"/>
      <protection hidden="1"/>
    </xf>
    <xf numFmtId="0" fontId="3" fillId="26" borderId="77" xfId="0" applyFont="1" applyFill="1" applyBorder="1" applyAlignment="1" applyProtection="1">
      <alignment horizontal="left"/>
      <protection hidden="1"/>
    </xf>
    <xf numFmtId="0" fontId="3" fillId="26" borderId="78" xfId="0" applyFont="1" applyFill="1" applyBorder="1" applyAlignment="1" applyProtection="1">
      <alignment horizontal="left"/>
      <protection hidden="1"/>
    </xf>
    <xf numFmtId="0" fontId="3" fillId="26" borderId="78" xfId="0" applyFont="1" applyFill="1" applyBorder="1" applyAlignment="1" applyProtection="1">
      <alignment horizontal="center"/>
      <protection hidden="1"/>
    </xf>
    <xf numFmtId="0" fontId="3" fillId="26" borderId="79" xfId="0" applyFont="1" applyFill="1" applyBorder="1" applyAlignment="1" applyProtection="1">
      <alignment horizontal="center"/>
      <protection hidden="1"/>
    </xf>
    <xf numFmtId="0" fontId="3" fillId="26" borderId="77" xfId="0" applyFont="1" applyFill="1" applyBorder="1" applyAlignment="1" applyProtection="1">
      <alignment horizontal="center"/>
      <protection hidden="1"/>
    </xf>
    <xf numFmtId="0" fontId="3" fillId="26" borderId="80" xfId="0" applyFont="1" applyFill="1" applyBorder="1" applyAlignment="1" applyProtection="1">
      <alignment horizontal="center"/>
      <protection hidden="1"/>
    </xf>
    <xf numFmtId="1" fontId="3" fillId="26" borderId="19" xfId="0" applyNumberFormat="1" applyFont="1" applyFill="1" applyBorder="1" applyAlignment="1" applyProtection="1">
      <alignment horizontal="center"/>
      <protection hidden="1"/>
    </xf>
    <xf numFmtId="0" fontId="3" fillId="26" borderId="13" xfId="0" applyFont="1" applyFill="1" applyBorder="1" applyAlignment="1" applyProtection="1">
      <alignment horizontal="center"/>
      <protection hidden="1"/>
    </xf>
    <xf numFmtId="0" fontId="3" fillId="0" borderId="14" xfId="0" applyFont="1" applyBorder="1" applyAlignment="1" applyProtection="1">
      <protection hidden="1"/>
    </xf>
    <xf numFmtId="0" fontId="3" fillId="26" borderId="81" xfId="0" applyFont="1" applyFill="1" applyBorder="1" applyAlignment="1" applyProtection="1">
      <alignment horizontal="left"/>
      <protection hidden="1"/>
    </xf>
    <xf numFmtId="0" fontId="3" fillId="26" borderId="44" xfId="0" applyFont="1" applyFill="1" applyBorder="1" applyAlignment="1" applyProtection="1">
      <alignment horizontal="left"/>
      <protection hidden="1"/>
    </xf>
    <xf numFmtId="0" fontId="0" fillId="26" borderId="44" xfId="0" applyFill="1" applyBorder="1" applyProtection="1">
      <protection hidden="1"/>
    </xf>
    <xf numFmtId="0" fontId="3" fillId="26" borderId="82" xfId="0" applyFont="1" applyFill="1" applyBorder="1" applyAlignment="1" applyProtection="1">
      <alignment horizontal="center"/>
      <protection hidden="1"/>
    </xf>
    <xf numFmtId="0" fontId="3" fillId="26" borderId="81" xfId="0" applyFont="1" applyFill="1" applyBorder="1" applyAlignment="1" applyProtection="1">
      <alignment horizontal="center"/>
      <protection hidden="1"/>
    </xf>
    <xf numFmtId="0" fontId="3" fillId="26" borderId="44" xfId="0" applyFont="1" applyFill="1" applyBorder="1" applyAlignment="1" applyProtection="1">
      <alignment horizontal="center"/>
      <protection hidden="1"/>
    </xf>
    <xf numFmtId="0" fontId="3" fillId="26" borderId="27" xfId="0" applyFont="1" applyFill="1" applyBorder="1" applyAlignment="1" applyProtection="1">
      <alignment horizontal="center"/>
      <protection hidden="1"/>
    </xf>
    <xf numFmtId="1" fontId="3" fillId="26" borderId="40" xfId="0" applyNumberFormat="1" applyFont="1" applyFill="1" applyBorder="1" applyAlignment="1" applyProtection="1">
      <alignment horizontal="center"/>
      <protection hidden="1"/>
    </xf>
    <xf numFmtId="0" fontId="3" fillId="26" borderId="83" xfId="0" applyFont="1" applyFill="1" applyBorder="1" applyAlignment="1" applyProtection="1">
      <alignment horizontal="center"/>
      <protection hidden="1"/>
    </xf>
    <xf numFmtId="0" fontId="3" fillId="0" borderId="0" xfId="0" quotePrefix="1" applyFont="1" applyFill="1" applyBorder="1" applyProtection="1">
      <protection hidden="1"/>
    </xf>
    <xf numFmtId="0" fontId="0" fillId="0" borderId="0" xfId="0" applyFill="1" applyProtection="1">
      <protection hidden="1"/>
    </xf>
    <xf numFmtId="0" fontId="3" fillId="0" borderId="14" xfId="0" applyFont="1" applyBorder="1" applyAlignment="1" applyProtection="1">
      <alignment horizontal="center"/>
      <protection hidden="1"/>
    </xf>
    <xf numFmtId="3" fontId="3" fillId="0" borderId="0" xfId="0" applyNumberFormat="1" applyFont="1" applyFill="1" applyBorder="1" applyAlignment="1" applyProtection="1">
      <alignment horizontal="left"/>
      <protection hidden="1"/>
    </xf>
    <xf numFmtId="167" fontId="3" fillId="28" borderId="40" xfId="0" applyNumberFormat="1" applyFont="1" applyFill="1" applyBorder="1" applyProtection="1">
      <protection hidden="1"/>
    </xf>
    <xf numFmtId="167" fontId="3" fillId="28" borderId="10" xfId="0" applyNumberFormat="1" applyFont="1" applyFill="1" applyBorder="1" applyProtection="1">
      <protection hidden="1"/>
    </xf>
    <xf numFmtId="0" fontId="0" fillId="28" borderId="10" xfId="0" applyFill="1" applyBorder="1" applyProtection="1">
      <protection hidden="1"/>
    </xf>
    <xf numFmtId="167" fontId="3" fillId="28" borderId="76" xfId="0" quotePrefix="1" applyNumberFormat="1" applyFont="1" applyFill="1" applyBorder="1" applyAlignment="1" applyProtection="1">
      <alignment horizontal="center"/>
      <protection hidden="1"/>
    </xf>
    <xf numFmtId="3" fontId="3" fillId="28" borderId="40" xfId="0" quotePrefix="1" applyNumberFormat="1" applyFont="1" applyFill="1" applyBorder="1" applyAlignment="1" applyProtection="1">
      <alignment horizontal="center"/>
      <protection hidden="1"/>
    </xf>
    <xf numFmtId="3" fontId="3" fillId="28" borderId="10" xfId="0" quotePrefix="1" applyNumberFormat="1" applyFont="1" applyFill="1" applyBorder="1" applyAlignment="1" applyProtection="1">
      <alignment horizontal="center"/>
      <protection hidden="1"/>
    </xf>
    <xf numFmtId="1" fontId="3" fillId="28" borderId="10" xfId="0" quotePrefix="1" applyNumberFormat="1" applyFont="1" applyFill="1" applyBorder="1" applyAlignment="1" applyProtection="1">
      <alignment horizontal="center"/>
      <protection hidden="1"/>
    </xf>
    <xf numFmtId="167" fontId="3" fillId="28" borderId="31" xfId="0" quotePrefix="1" applyNumberFormat="1" applyFont="1" applyFill="1" applyBorder="1" applyAlignment="1" applyProtection="1">
      <alignment horizontal="center"/>
      <protection hidden="1"/>
    </xf>
    <xf numFmtId="166" fontId="3" fillId="28" borderId="84" xfId="0" quotePrefix="1" applyNumberFormat="1" applyFont="1" applyFill="1" applyBorder="1" applyAlignment="1" applyProtection="1">
      <alignment horizontal="center"/>
      <protection hidden="1"/>
    </xf>
    <xf numFmtId="3" fontId="3" fillId="0" borderId="85" xfId="0" applyNumberFormat="1" applyFont="1" applyFill="1" applyBorder="1" applyAlignment="1" applyProtection="1">
      <protection hidden="1"/>
    </xf>
    <xf numFmtId="3" fontId="3" fillId="0" borderId="29" xfId="0" applyNumberFormat="1" applyFont="1" applyFill="1" applyBorder="1" applyAlignment="1" applyProtection="1">
      <protection hidden="1"/>
    </xf>
    <xf numFmtId="3" fontId="3" fillId="0" borderId="86" xfId="0" applyNumberFormat="1" applyFont="1" applyFill="1" applyBorder="1" applyAlignment="1" applyProtection="1">
      <protection hidden="1"/>
    </xf>
    <xf numFmtId="0" fontId="0" fillId="0" borderId="0" xfId="0" applyFill="1" applyBorder="1" applyAlignment="1" applyProtection="1">
      <alignment horizontal="center"/>
      <protection hidden="1"/>
    </xf>
    <xf numFmtId="167" fontId="3" fillId="28" borderId="45" xfId="0" applyNumberFormat="1" applyFont="1" applyFill="1" applyBorder="1" applyProtection="1">
      <protection hidden="1"/>
    </xf>
    <xf numFmtId="167" fontId="3" fillId="28" borderId="32" xfId="0" applyNumberFormat="1" applyFont="1" applyFill="1" applyBorder="1" applyProtection="1">
      <protection hidden="1"/>
    </xf>
    <xf numFmtId="0" fontId="0" fillId="28" borderId="32" xfId="0" applyFill="1" applyBorder="1" applyProtection="1">
      <protection hidden="1"/>
    </xf>
    <xf numFmtId="167" fontId="3" fillId="28" borderId="87" xfId="0" quotePrefix="1" applyNumberFormat="1" applyFont="1" applyFill="1" applyBorder="1" applyAlignment="1" applyProtection="1">
      <alignment horizontal="center"/>
      <protection hidden="1"/>
    </xf>
    <xf numFmtId="1" fontId="3" fillId="28" borderId="45" xfId="0" quotePrefix="1" applyNumberFormat="1" applyFont="1" applyFill="1" applyBorder="1" applyAlignment="1" applyProtection="1">
      <alignment horizontal="center"/>
      <protection hidden="1"/>
    </xf>
    <xf numFmtId="1" fontId="3" fillId="28" borderId="32" xfId="0" quotePrefix="1" applyNumberFormat="1" applyFont="1" applyFill="1" applyBorder="1" applyAlignment="1" applyProtection="1">
      <alignment horizontal="center"/>
      <protection hidden="1"/>
    </xf>
    <xf numFmtId="167" fontId="3" fillId="28" borderId="33" xfId="0" quotePrefix="1" applyNumberFormat="1" applyFont="1" applyFill="1" applyBorder="1" applyAlignment="1" applyProtection="1">
      <alignment horizontal="center"/>
      <protection hidden="1"/>
    </xf>
    <xf numFmtId="166" fontId="3" fillId="28" borderId="88" xfId="0" quotePrefix="1" applyNumberFormat="1" applyFont="1" applyFill="1" applyBorder="1" applyAlignment="1" applyProtection="1">
      <alignment horizontal="center"/>
      <protection hidden="1"/>
    </xf>
    <xf numFmtId="0" fontId="3" fillId="0" borderId="16" xfId="0" applyFont="1" applyBorder="1" applyAlignment="1" applyProtection="1">
      <alignment horizontal="center"/>
      <protection hidden="1"/>
    </xf>
    <xf numFmtId="0" fontId="3" fillId="0" borderId="17" xfId="0" applyFont="1" applyBorder="1" applyAlignment="1" applyProtection="1">
      <alignment horizontal="center"/>
      <protection hidden="1"/>
    </xf>
    <xf numFmtId="3" fontId="3" fillId="0" borderId="17" xfId="0" applyNumberFormat="1" applyFont="1" applyFill="1" applyBorder="1" applyAlignment="1" applyProtection="1">
      <alignment horizontal="left"/>
      <protection hidden="1"/>
    </xf>
    <xf numFmtId="0" fontId="3" fillId="0" borderId="17" xfId="0" applyFont="1" applyBorder="1" applyProtection="1">
      <protection hidden="1"/>
    </xf>
    <xf numFmtId="3" fontId="3" fillId="0" borderId="17" xfId="0" applyNumberFormat="1" applyFont="1" applyFill="1" applyBorder="1" applyAlignment="1" applyProtection="1">
      <alignment horizontal="center"/>
      <protection hidden="1"/>
    </xf>
    <xf numFmtId="0" fontId="0" fillId="0" borderId="17" xfId="0" applyFill="1" applyBorder="1" applyProtection="1">
      <protection hidden="1"/>
    </xf>
    <xf numFmtId="0" fontId="30" fillId="0" borderId="0" xfId="0" applyFont="1" applyBorder="1" applyAlignment="1" applyProtection="1">
      <alignment horizontal="left"/>
      <protection hidden="1"/>
    </xf>
    <xf numFmtId="0" fontId="9" fillId="0" borderId="0" xfId="0" applyFont="1" applyBorder="1" applyProtection="1">
      <protection hidden="1"/>
    </xf>
    <xf numFmtId="0" fontId="3" fillId="32" borderId="0" xfId="0" applyFont="1" applyFill="1" applyBorder="1" applyAlignment="1" applyProtection="1">
      <alignment horizontal="center"/>
      <protection hidden="1"/>
    </xf>
    <xf numFmtId="0" fontId="0" fillId="32" borderId="0" xfId="0" applyFill="1" applyBorder="1" applyProtection="1">
      <protection hidden="1"/>
    </xf>
    <xf numFmtId="0" fontId="0" fillId="32" borderId="15" xfId="0" applyFill="1" applyBorder="1" applyProtection="1">
      <protection hidden="1"/>
    </xf>
    <xf numFmtId="0" fontId="4" fillId="0" borderId="0" xfId="0" applyFont="1" applyBorder="1" applyProtection="1">
      <protection hidden="1"/>
    </xf>
    <xf numFmtId="0" fontId="3" fillId="28" borderId="0" xfId="0" applyFont="1" applyFill="1" applyBorder="1" applyAlignment="1" applyProtection="1">
      <alignment horizontal="center"/>
      <protection hidden="1"/>
    </xf>
    <xf numFmtId="1" fontId="3" fillId="28" borderId="0" xfId="0" applyNumberFormat="1" applyFont="1" applyFill="1" applyBorder="1" applyAlignment="1" applyProtection="1">
      <alignment horizontal="center"/>
      <protection hidden="1"/>
    </xf>
    <xf numFmtId="0" fontId="3" fillId="28" borderId="15" xfId="0" applyFont="1" applyFill="1" applyBorder="1" applyAlignment="1" applyProtection="1">
      <alignment horizontal="center"/>
      <protection hidden="1"/>
    </xf>
    <xf numFmtId="0" fontId="0" fillId="0" borderId="0" xfId="0" applyFill="1" applyBorder="1" applyAlignment="1" applyProtection="1">
      <alignment horizontal="left"/>
      <protection hidden="1"/>
    </xf>
    <xf numFmtId="0" fontId="3" fillId="32" borderId="0" xfId="0" applyFont="1" applyFill="1" applyBorder="1" applyAlignment="1" applyProtection="1">
      <alignment horizontal="left"/>
      <protection hidden="1"/>
    </xf>
    <xf numFmtId="0" fontId="30" fillId="0" borderId="14" xfId="0" applyFont="1" applyFill="1" applyBorder="1" applyAlignment="1" applyProtection="1">
      <alignment horizontal="center"/>
      <protection hidden="1"/>
    </xf>
    <xf numFmtId="1" fontId="3" fillId="0" borderId="0" xfId="0" applyNumberFormat="1" applyFont="1" applyFill="1" applyBorder="1" applyAlignment="1" applyProtection="1">
      <alignment horizontal="center"/>
      <protection hidden="1"/>
    </xf>
    <xf numFmtId="0" fontId="3" fillId="25" borderId="14" xfId="0" applyFont="1" applyFill="1" applyBorder="1" applyAlignment="1" applyProtection="1">
      <alignment horizontal="center"/>
      <protection hidden="1"/>
    </xf>
    <xf numFmtId="165" fontId="3" fillId="25" borderId="0" xfId="0" applyNumberFormat="1" applyFont="1" applyFill="1" applyBorder="1" applyAlignment="1" applyProtection="1">
      <alignment horizontal="center"/>
      <protection hidden="1"/>
    </xf>
    <xf numFmtId="0" fontId="3" fillId="25" borderId="0" xfId="0" applyFont="1" applyFill="1" applyBorder="1" applyAlignment="1" applyProtection="1">
      <alignment horizontal="center"/>
      <protection hidden="1"/>
    </xf>
    <xf numFmtId="167" fontId="3" fillId="32" borderId="0" xfId="0" quotePrefix="1" applyNumberFormat="1" applyFont="1" applyFill="1" applyBorder="1" applyAlignment="1" applyProtection="1">
      <alignment horizontal="center"/>
      <protection hidden="1"/>
    </xf>
    <xf numFmtId="1" fontId="3" fillId="32" borderId="0" xfId="0" quotePrefix="1" applyNumberFormat="1" applyFont="1" applyFill="1" applyBorder="1" applyAlignment="1" applyProtection="1">
      <alignment horizontal="center"/>
      <protection hidden="1"/>
    </xf>
    <xf numFmtId="1" fontId="3" fillId="28" borderId="0" xfId="0" quotePrefix="1" applyNumberFormat="1" applyFont="1" applyFill="1" applyBorder="1" applyAlignment="1" applyProtection="1">
      <alignment horizontal="center"/>
      <protection hidden="1"/>
    </xf>
    <xf numFmtId="165" fontId="3" fillId="28" borderId="0" xfId="0" quotePrefix="1" applyNumberFormat="1" applyFont="1" applyFill="1" applyBorder="1" applyAlignment="1" applyProtection="1">
      <alignment horizontal="center"/>
      <protection hidden="1"/>
    </xf>
    <xf numFmtId="166" fontId="3" fillId="28" borderId="0" xfId="0" applyNumberFormat="1" applyFont="1" applyFill="1" applyBorder="1" applyAlignment="1" applyProtection="1">
      <alignment horizontal="center"/>
      <protection hidden="1"/>
    </xf>
    <xf numFmtId="167" fontId="3" fillId="32" borderId="0" xfId="0" applyNumberFormat="1" applyFont="1" applyFill="1" applyBorder="1" applyAlignment="1" applyProtection="1">
      <alignment horizontal="center"/>
      <protection hidden="1"/>
    </xf>
    <xf numFmtId="3" fontId="3" fillId="32" borderId="0" xfId="0" applyNumberFormat="1" applyFont="1" applyFill="1" applyBorder="1" applyAlignment="1" applyProtection="1">
      <alignment horizontal="center"/>
      <protection hidden="1"/>
    </xf>
    <xf numFmtId="3" fontId="3" fillId="28" borderId="0" xfId="0" applyNumberFormat="1" applyFont="1" applyFill="1" applyBorder="1" applyAlignment="1" applyProtection="1">
      <alignment horizontal="center"/>
      <protection hidden="1"/>
    </xf>
    <xf numFmtId="167" fontId="3" fillId="28" borderId="0" xfId="0" applyNumberFormat="1" applyFont="1" applyFill="1" applyBorder="1" applyAlignment="1" applyProtection="1">
      <alignment horizontal="center"/>
      <protection hidden="1"/>
    </xf>
    <xf numFmtId="167" fontId="3" fillId="24" borderId="0" xfId="0" applyNumberFormat="1" applyFont="1" applyFill="1" applyBorder="1" applyAlignment="1" applyProtection="1">
      <alignment horizontal="center"/>
      <protection hidden="1"/>
    </xf>
    <xf numFmtId="165" fontId="3" fillId="28" borderId="0" xfId="0" applyNumberFormat="1" applyFont="1" applyFill="1" applyBorder="1" applyAlignment="1" applyProtection="1">
      <alignment horizontal="center"/>
      <protection hidden="1"/>
    </xf>
    <xf numFmtId="166" fontId="3" fillId="28" borderId="15" xfId="0" applyNumberFormat="1" applyFont="1" applyFill="1" applyBorder="1" applyAlignment="1" applyProtection="1">
      <alignment horizontal="center"/>
      <protection hidden="1"/>
    </xf>
    <xf numFmtId="165" fontId="3" fillId="0" borderId="0" xfId="0" applyNumberFormat="1" applyFont="1" applyBorder="1" applyAlignment="1" applyProtection="1">
      <alignment horizontal="center"/>
      <protection hidden="1"/>
    </xf>
    <xf numFmtId="1" fontId="3" fillId="32" borderId="0" xfId="0" applyNumberFormat="1" applyFont="1" applyFill="1" applyBorder="1" applyAlignment="1" applyProtection="1">
      <alignment horizontal="center"/>
      <protection hidden="1"/>
    </xf>
    <xf numFmtId="3" fontId="3" fillId="0" borderId="0" xfId="0" applyNumberFormat="1" applyFont="1" applyFill="1" applyBorder="1" applyAlignment="1" applyProtection="1">
      <alignment horizontal="right"/>
      <protection hidden="1"/>
    </xf>
    <xf numFmtId="0" fontId="30" fillId="0" borderId="14" xfId="0" applyFont="1" applyBorder="1" applyProtection="1">
      <protection hidden="1"/>
    </xf>
    <xf numFmtId="0" fontId="9" fillId="0" borderId="0" xfId="0" quotePrefix="1" applyFont="1" applyBorder="1" applyProtection="1">
      <protection hidden="1"/>
    </xf>
    <xf numFmtId="0" fontId="9" fillId="0" borderId="0" xfId="0" quotePrefix="1" applyFont="1" applyFill="1" applyBorder="1" applyProtection="1">
      <protection hidden="1"/>
    </xf>
    <xf numFmtId="0" fontId="9" fillId="0" borderId="0" xfId="0" applyFont="1" applyBorder="1" applyAlignment="1" applyProtection="1">
      <alignment horizontal="left"/>
      <protection hidden="1"/>
    </xf>
    <xf numFmtId="167" fontId="3" fillId="0" borderId="0" xfId="0" applyNumberFormat="1" applyFont="1" applyFill="1" applyBorder="1" applyAlignment="1" applyProtection="1">
      <alignment horizontal="center"/>
      <protection hidden="1"/>
    </xf>
    <xf numFmtId="0" fontId="30" fillId="0" borderId="14" xfId="0" applyFont="1" applyBorder="1" applyAlignment="1" applyProtection="1">
      <alignment horizontal="left"/>
      <protection hidden="1"/>
    </xf>
    <xf numFmtId="0" fontId="4" fillId="0" borderId="14" xfId="0" applyFont="1" applyBorder="1" applyProtection="1">
      <protection hidden="1"/>
    </xf>
    <xf numFmtId="0" fontId="30" fillId="0" borderId="14" xfId="0" applyFont="1" applyFill="1" applyBorder="1" applyAlignment="1" applyProtection="1">
      <alignment horizontal="left"/>
      <protection hidden="1"/>
    </xf>
    <xf numFmtId="0" fontId="0" fillId="0" borderId="0" xfId="0" applyBorder="1" applyAlignment="1" applyProtection="1">
      <alignment horizontal="right"/>
      <protection hidden="1"/>
    </xf>
    <xf numFmtId="167" fontId="0" fillId="0" borderId="0" xfId="0" applyNumberFormat="1" applyBorder="1" applyProtection="1">
      <protection hidden="1"/>
    </xf>
    <xf numFmtId="165" fontId="0" fillId="0" borderId="0" xfId="0" applyNumberFormat="1" applyBorder="1" applyProtection="1">
      <protection hidden="1"/>
    </xf>
    <xf numFmtId="1" fontId="0" fillId="0" borderId="0" xfId="0" applyNumberFormat="1" applyBorder="1" applyAlignment="1" applyProtection="1">
      <alignment horizontal="center"/>
      <protection hidden="1"/>
    </xf>
    <xf numFmtId="1" fontId="0" fillId="0" borderId="0" xfId="0" applyNumberFormat="1" applyFill="1" applyBorder="1" applyProtection="1">
      <protection hidden="1"/>
    </xf>
    <xf numFmtId="1" fontId="0" fillId="0" borderId="0" xfId="0" applyNumberFormat="1" applyBorder="1" applyProtection="1">
      <protection hidden="1"/>
    </xf>
    <xf numFmtId="3" fontId="0" fillId="0" borderId="0" xfId="0" applyNumberFormat="1" applyBorder="1" applyProtection="1">
      <protection hidden="1"/>
    </xf>
    <xf numFmtId="0" fontId="9" fillId="0" borderId="0" xfId="0" quotePrefix="1" applyFont="1" applyBorder="1" applyAlignment="1" applyProtection="1">
      <alignment horizontal="left"/>
      <protection hidden="1"/>
    </xf>
    <xf numFmtId="43" fontId="9" fillId="0" borderId="0" xfId="1" applyFont="1" applyBorder="1" applyProtection="1">
      <protection hidden="1"/>
    </xf>
    <xf numFmtId="0" fontId="9" fillId="0" borderId="0" xfId="0" applyFont="1" applyBorder="1" applyAlignment="1" applyProtection="1">
      <alignment horizontal="center"/>
      <protection hidden="1"/>
    </xf>
    <xf numFmtId="166" fontId="3" fillId="0" borderId="0" xfId="0" applyNumberFormat="1" applyFont="1" applyFill="1" applyBorder="1" applyAlignment="1" applyProtection="1">
      <alignment horizontal="center"/>
      <protection hidden="1"/>
    </xf>
    <xf numFmtId="0" fontId="3" fillId="0" borderId="19" xfId="0" applyFont="1" applyBorder="1" applyAlignment="1" applyProtection="1">
      <alignment horizontal="center"/>
      <protection hidden="1"/>
    </xf>
    <xf numFmtId="0" fontId="3" fillId="0" borderId="40" xfId="0" applyFont="1" applyBorder="1" applyAlignment="1" applyProtection="1">
      <alignment horizontal="center"/>
      <protection hidden="1"/>
    </xf>
    <xf numFmtId="0" fontId="3" fillId="0" borderId="10" xfId="0" applyFont="1" applyBorder="1" applyAlignment="1" applyProtection="1">
      <alignment horizontal="center"/>
      <protection hidden="1"/>
    </xf>
    <xf numFmtId="0" fontId="3" fillId="0" borderId="31" xfId="0" applyFont="1" applyBorder="1" applyAlignment="1" applyProtection="1">
      <alignment horizontal="center"/>
      <protection hidden="1"/>
    </xf>
    <xf numFmtId="0" fontId="29" fillId="0" borderId="0" xfId="0" applyFont="1" applyBorder="1" applyProtection="1">
      <protection hidden="1"/>
    </xf>
    <xf numFmtId="0" fontId="31" fillId="0" borderId="0" xfId="0" applyFont="1" applyBorder="1" applyProtection="1">
      <protection hidden="1"/>
    </xf>
    <xf numFmtId="0" fontId="30" fillId="0" borderId="10" xfId="0" applyFont="1" applyFill="1" applyBorder="1" applyAlignment="1" applyProtection="1">
      <alignment horizontal="center"/>
      <protection hidden="1"/>
    </xf>
    <xf numFmtId="0" fontId="3" fillId="0" borderId="31" xfId="0" applyFont="1" applyFill="1" applyBorder="1" applyAlignment="1" applyProtection="1">
      <alignment horizontal="center"/>
      <protection hidden="1"/>
    </xf>
    <xf numFmtId="0" fontId="30" fillId="0" borderId="40" xfId="0" applyFont="1" applyFill="1" applyBorder="1" applyAlignment="1" applyProtection="1">
      <alignment horizontal="center"/>
      <protection hidden="1"/>
    </xf>
    <xf numFmtId="0" fontId="30" fillId="0" borderId="31" xfId="0" applyFont="1" applyFill="1" applyBorder="1" applyAlignment="1" applyProtection="1">
      <alignment horizontal="center"/>
      <protection hidden="1"/>
    </xf>
    <xf numFmtId="0" fontId="29" fillId="0" borderId="0" xfId="0" applyFont="1" applyBorder="1" applyAlignment="1" applyProtection="1">
      <alignment horizontal="center"/>
      <protection hidden="1"/>
    </xf>
    <xf numFmtId="0" fontId="3" fillId="25" borderId="40" xfId="0" applyFont="1" applyFill="1" applyBorder="1" applyAlignment="1" applyProtection="1">
      <alignment horizontal="center"/>
      <protection hidden="1"/>
    </xf>
    <xf numFmtId="165" fontId="3" fillId="25" borderId="10" xfId="0" applyNumberFormat="1" applyFont="1" applyFill="1" applyBorder="1" applyAlignment="1" applyProtection="1">
      <alignment horizontal="center"/>
      <protection hidden="1"/>
    </xf>
    <xf numFmtId="0" fontId="3" fillId="25" borderId="31" xfId="0" applyFont="1" applyFill="1" applyBorder="1" applyAlignment="1" applyProtection="1">
      <alignment horizontal="center"/>
      <protection hidden="1"/>
    </xf>
    <xf numFmtId="0" fontId="29" fillId="0" borderId="0" xfId="0" applyFont="1" applyFill="1" applyBorder="1" applyAlignment="1" applyProtection="1">
      <alignment horizontal="center"/>
      <protection hidden="1"/>
    </xf>
    <xf numFmtId="165" fontId="3" fillId="0" borderId="10" xfId="0" applyNumberFormat="1" applyFont="1" applyFill="1" applyBorder="1" applyAlignment="1" applyProtection="1">
      <alignment horizontal="center"/>
      <protection hidden="1"/>
    </xf>
    <xf numFmtId="3" fontId="29" fillId="0" borderId="0" xfId="0" applyNumberFormat="1" applyFont="1" applyBorder="1" applyAlignment="1" applyProtection="1">
      <alignment horizontal="center"/>
      <protection hidden="1"/>
    </xf>
    <xf numFmtId="3" fontId="29" fillId="0" borderId="0" xfId="0" applyNumberFormat="1" applyFont="1" applyBorder="1" applyAlignment="1" applyProtection="1">
      <alignment horizontal="right"/>
      <protection hidden="1"/>
    </xf>
    <xf numFmtId="165" fontId="3" fillId="0" borderId="10" xfId="0" applyNumberFormat="1" applyFont="1" applyBorder="1" applyAlignment="1" applyProtection="1">
      <alignment horizontal="center"/>
      <protection hidden="1"/>
    </xf>
    <xf numFmtId="167" fontId="29" fillId="0" borderId="0" xfId="0" applyNumberFormat="1" applyFont="1" applyBorder="1" applyProtection="1">
      <protection hidden="1"/>
    </xf>
    <xf numFmtId="3" fontId="29" fillId="0" borderId="0" xfId="0" applyNumberFormat="1" applyFont="1" applyBorder="1" applyProtection="1">
      <protection hidden="1"/>
    </xf>
    <xf numFmtId="0" fontId="29" fillId="0" borderId="0" xfId="0" applyFont="1" applyBorder="1" applyAlignment="1" applyProtection="1">
      <alignment horizontal="left"/>
      <protection hidden="1"/>
    </xf>
    <xf numFmtId="0" fontId="3" fillId="25" borderId="45" xfId="0" applyFont="1" applyFill="1" applyBorder="1" applyAlignment="1" applyProtection="1">
      <alignment horizontal="center"/>
      <protection hidden="1"/>
    </xf>
    <xf numFmtId="165" fontId="3" fillId="25" borderId="32" xfId="0" applyNumberFormat="1" applyFont="1" applyFill="1" applyBorder="1" applyAlignment="1" applyProtection="1">
      <alignment horizontal="center"/>
      <protection hidden="1"/>
    </xf>
    <xf numFmtId="0" fontId="3" fillId="25" borderId="33" xfId="0" applyFont="1" applyFill="1" applyBorder="1" applyAlignment="1" applyProtection="1">
      <alignment horizontal="center"/>
      <protection hidden="1"/>
    </xf>
    <xf numFmtId="165" fontId="3" fillId="24" borderId="48" xfId="0" applyNumberFormat="1" applyFont="1" applyFill="1" applyBorder="1" applyAlignment="1" applyProtection="1">
      <alignment horizontal="center"/>
      <protection locked="0" hidden="1"/>
    </xf>
    <xf numFmtId="0" fontId="2" fillId="0" borderId="40" xfId="0" applyFont="1" applyFill="1" applyBorder="1" applyAlignment="1" applyProtection="1">
      <alignment horizontal="center"/>
      <protection hidden="1"/>
    </xf>
    <xf numFmtId="0" fontId="2" fillId="0" borderId="40" xfId="0" applyFont="1" applyFill="1" applyBorder="1" applyAlignment="1" applyProtection="1">
      <alignment horizontal="left" vertical="center"/>
      <protection hidden="1"/>
    </xf>
    <xf numFmtId="0" fontId="2" fillId="0" borderId="10" xfId="0" applyFont="1" applyFill="1" applyBorder="1" applyAlignment="1" applyProtection="1">
      <alignment horizontal="center"/>
      <protection hidden="1"/>
    </xf>
    <xf numFmtId="0" fontId="2" fillId="35" borderId="40" xfId="0" applyFont="1" applyFill="1" applyBorder="1" applyAlignment="1" applyProtection="1">
      <alignment horizontal="center"/>
      <protection hidden="1"/>
    </xf>
    <xf numFmtId="0" fontId="2" fillId="35" borderId="10" xfId="0" applyFont="1" applyFill="1" applyBorder="1" applyAlignment="1" applyProtection="1">
      <alignment horizontal="center"/>
      <protection hidden="1"/>
    </xf>
    <xf numFmtId="0" fontId="9" fillId="0" borderId="14"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horizontal="center"/>
      <protection hidden="1"/>
    </xf>
    <xf numFmtId="165" fontId="3" fillId="26" borderId="42" xfId="0" applyNumberFormat="1" applyFont="1" applyFill="1" applyBorder="1" applyAlignment="1" applyProtection="1">
      <alignment horizontal="center"/>
      <protection hidden="1"/>
    </xf>
    <xf numFmtId="165" fontId="3" fillId="27" borderId="89" xfId="0" applyNumberFormat="1" applyFont="1" applyFill="1" applyBorder="1" applyAlignment="1" applyProtection="1">
      <alignment horizontal="center"/>
      <protection hidden="1"/>
    </xf>
    <xf numFmtId="0" fontId="2" fillId="0" borderId="41" xfId="0" applyFont="1" applyFill="1" applyBorder="1" applyAlignment="1" applyProtection="1">
      <alignment horizontal="center" vertical="center"/>
      <protection hidden="1"/>
    </xf>
    <xf numFmtId="0" fontId="2" fillId="0" borderId="45" xfId="0" applyFont="1" applyFill="1" applyBorder="1" applyAlignment="1" applyProtection="1">
      <alignment horizontal="center" vertical="center"/>
      <protection hidden="1"/>
    </xf>
    <xf numFmtId="0" fontId="2" fillId="0" borderId="42" xfId="0" applyFont="1" applyFill="1" applyBorder="1" applyAlignment="1" applyProtection="1">
      <alignment horizontal="center"/>
      <protection hidden="1"/>
    </xf>
    <xf numFmtId="0" fontId="2" fillId="0" borderId="32" xfId="0" applyFont="1" applyFill="1" applyBorder="1" applyAlignment="1" applyProtection="1">
      <alignment horizontal="center"/>
      <protection hidden="1"/>
    </xf>
    <xf numFmtId="1" fontId="3" fillId="34" borderId="0" xfId="0" applyNumberFormat="1" applyFont="1" applyFill="1" applyBorder="1" applyAlignment="1" applyProtection="1">
      <alignment horizontal="center"/>
      <protection hidden="1"/>
    </xf>
    <xf numFmtId="0" fontId="9" fillId="35" borderId="40" xfId="0" applyFont="1" applyFill="1" applyBorder="1" applyAlignment="1" applyProtection="1">
      <alignment horizontal="center" vertical="center"/>
      <protection hidden="1"/>
    </xf>
    <xf numFmtId="0" fontId="9" fillId="35" borderId="10" xfId="0" applyFont="1" applyFill="1" applyBorder="1" applyAlignment="1" applyProtection="1">
      <alignment horizontal="center" vertical="center"/>
      <protection hidden="1"/>
    </xf>
    <xf numFmtId="0" fontId="2" fillId="35" borderId="41" xfId="0" applyFont="1" applyFill="1" applyBorder="1" applyAlignment="1" applyProtection="1">
      <alignment horizontal="center" vertical="center"/>
      <protection hidden="1"/>
    </xf>
    <xf numFmtId="0" fontId="0" fillId="35" borderId="42" xfId="0" applyFill="1" applyBorder="1" applyAlignment="1" applyProtection="1">
      <alignment horizontal="center"/>
      <protection hidden="1"/>
    </xf>
    <xf numFmtId="0" fontId="2" fillId="35" borderId="42" xfId="0" applyFont="1" applyFill="1" applyBorder="1" applyAlignment="1" applyProtection="1">
      <alignment horizontal="center"/>
      <protection hidden="1"/>
    </xf>
    <xf numFmtId="0" fontId="2" fillId="35" borderId="10" xfId="0" applyFont="1" applyFill="1" applyBorder="1" applyAlignment="1" applyProtection="1">
      <alignment horizontal="center" vertical="center"/>
      <protection hidden="1"/>
    </xf>
    <xf numFmtId="0" fontId="2" fillId="0" borderId="32" xfId="0" applyFont="1" applyFill="1" applyBorder="1" applyAlignment="1" applyProtection="1">
      <alignment horizontal="center" vertical="center"/>
      <protection hidden="1"/>
    </xf>
    <xf numFmtId="0" fontId="6" fillId="34" borderId="14" xfId="0" applyFont="1" applyFill="1" applyBorder="1" applyAlignment="1" applyProtection="1">
      <alignment horizontal="center" vertical="center"/>
      <protection hidden="1"/>
    </xf>
    <xf numFmtId="0" fontId="6" fillId="34" borderId="0" xfId="0" applyFont="1" applyFill="1" applyBorder="1" applyAlignment="1" applyProtection="1">
      <alignment horizontal="center" vertical="center"/>
      <protection hidden="1"/>
    </xf>
    <xf numFmtId="0" fontId="6" fillId="34" borderId="15" xfId="0" applyFont="1" applyFill="1" applyBorder="1" applyAlignment="1" applyProtection="1">
      <alignment horizontal="center" vertical="center"/>
      <protection hidden="1"/>
    </xf>
    <xf numFmtId="0" fontId="3" fillId="0" borderId="90" xfId="0" applyFont="1" applyBorder="1" applyProtection="1"/>
    <xf numFmtId="0" fontId="3" fillId="0" borderId="62" xfId="0" applyFont="1" applyBorder="1" applyProtection="1">
      <protection hidden="1"/>
    </xf>
    <xf numFmtId="0" fontId="3" fillId="0" borderId="48" xfId="0" applyFont="1" applyBorder="1" applyProtection="1">
      <protection hidden="1"/>
    </xf>
    <xf numFmtId="0" fontId="3" fillId="34" borderId="48" xfId="0" applyFont="1" applyFill="1" applyBorder="1" applyAlignment="1" applyProtection="1">
      <alignment horizontal="left" vertical="center"/>
      <protection hidden="1"/>
    </xf>
    <xf numFmtId="0" fontId="2" fillId="35" borderId="25" xfId="0" applyFont="1" applyFill="1" applyBorder="1" applyAlignment="1" applyProtection="1">
      <alignment horizontal="center"/>
      <protection hidden="1"/>
    </xf>
    <xf numFmtId="0" fontId="2" fillId="25" borderId="38" xfId="0" applyFont="1" applyFill="1" applyBorder="1" applyAlignment="1" applyProtection="1">
      <alignment horizontal="center"/>
      <protection hidden="1"/>
    </xf>
    <xf numFmtId="0" fontId="2" fillId="25" borderId="10" xfId="0" applyFont="1" applyFill="1" applyBorder="1" applyAlignment="1" applyProtection="1">
      <alignment horizontal="center"/>
      <protection hidden="1"/>
    </xf>
    <xf numFmtId="0" fontId="2" fillId="25" borderId="32" xfId="0" applyFont="1" applyFill="1" applyBorder="1" applyAlignment="1" applyProtection="1">
      <alignment horizontal="center"/>
      <protection hidden="1"/>
    </xf>
    <xf numFmtId="0" fontId="9" fillId="34" borderId="23" xfId="0" applyFont="1" applyFill="1" applyBorder="1" applyAlignment="1" applyProtection="1">
      <alignment horizontal="left" vertical="center"/>
    </xf>
    <xf numFmtId="0" fontId="9" fillId="34" borderId="24" xfId="0" applyFont="1" applyFill="1" applyBorder="1" applyAlignment="1" applyProtection="1">
      <alignment horizontal="left" vertical="center"/>
    </xf>
    <xf numFmtId="0" fontId="9" fillId="35" borderId="24" xfId="0" applyFont="1" applyFill="1" applyBorder="1" applyAlignment="1" applyProtection="1">
      <alignment horizontal="left" vertical="center"/>
    </xf>
    <xf numFmtId="0" fontId="0" fillId="35" borderId="25" xfId="0" applyFill="1" applyBorder="1" applyAlignment="1" applyProtection="1">
      <alignment horizontal="left" vertical="center"/>
    </xf>
    <xf numFmtId="2" fontId="8" fillId="35" borderId="10" xfId="0" applyNumberFormat="1" applyFont="1" applyFill="1" applyBorder="1" applyAlignment="1" applyProtection="1">
      <alignment horizontal="center" vertical="center"/>
    </xf>
    <xf numFmtId="2" fontId="4" fillId="35" borderId="10" xfId="0" applyNumberFormat="1" applyFont="1" applyFill="1" applyBorder="1" applyAlignment="1" applyProtection="1">
      <alignment horizontal="center" vertical="center"/>
    </xf>
    <xf numFmtId="0" fontId="9" fillId="36" borderId="23" xfId="0" applyFont="1" applyFill="1" applyBorder="1" applyAlignment="1" applyProtection="1">
      <alignment horizontal="left" vertical="center"/>
    </xf>
    <xf numFmtId="0" fontId="9" fillId="36" borderId="24" xfId="0" applyFont="1" applyFill="1" applyBorder="1" applyAlignment="1" applyProtection="1">
      <alignment horizontal="left" vertical="center"/>
    </xf>
    <xf numFmtId="0" fontId="9" fillId="36" borderId="40" xfId="0" applyFont="1" applyFill="1" applyBorder="1" applyAlignment="1" applyProtection="1">
      <alignment horizontal="center" vertical="center"/>
      <protection hidden="1"/>
    </xf>
    <xf numFmtId="0" fontId="0" fillId="36" borderId="25" xfId="0" applyFill="1" applyBorder="1" applyAlignment="1" applyProtection="1">
      <alignment horizontal="left" vertical="center"/>
    </xf>
    <xf numFmtId="2" fontId="8" fillId="36" borderId="10" xfId="0" applyNumberFormat="1" applyFont="1" applyFill="1" applyBorder="1" applyAlignment="1" applyProtection="1">
      <alignment horizontal="center" vertical="center"/>
    </xf>
    <xf numFmtId="2" fontId="4" fillId="36" borderId="10" xfId="0" applyNumberFormat="1" applyFont="1" applyFill="1" applyBorder="1" applyAlignment="1" applyProtection="1">
      <alignment horizontal="center" vertical="center"/>
    </xf>
    <xf numFmtId="0" fontId="9" fillId="34" borderId="40" xfId="0" applyFont="1" applyFill="1" applyBorder="1" applyAlignment="1" applyProtection="1">
      <alignment horizontal="center" vertical="center"/>
      <protection hidden="1"/>
    </xf>
    <xf numFmtId="0" fontId="0" fillId="34" borderId="25" xfId="0" applyFill="1" applyBorder="1" applyAlignment="1" applyProtection="1">
      <alignment horizontal="left" vertical="center"/>
    </xf>
    <xf numFmtId="2" fontId="8" fillId="34" borderId="10" xfId="0" applyNumberFormat="1" applyFont="1" applyFill="1" applyBorder="1" applyAlignment="1" applyProtection="1">
      <alignment horizontal="center" vertical="center"/>
    </xf>
    <xf numFmtId="2" fontId="4" fillId="34" borderId="10" xfId="0" applyNumberFormat="1" applyFont="1" applyFill="1" applyBorder="1" applyAlignment="1" applyProtection="1">
      <alignment horizontal="center" vertical="center"/>
    </xf>
    <xf numFmtId="0" fontId="9" fillId="37" borderId="23" xfId="0" applyFont="1" applyFill="1" applyBorder="1" applyAlignment="1" applyProtection="1">
      <alignment horizontal="left" vertical="center"/>
    </xf>
    <xf numFmtId="0" fontId="9" fillId="37" borderId="24" xfId="0" applyFont="1" applyFill="1" applyBorder="1" applyAlignment="1" applyProtection="1">
      <alignment horizontal="left" vertical="center"/>
    </xf>
    <xf numFmtId="0" fontId="9" fillId="37" borderId="40" xfId="0" applyFont="1" applyFill="1" applyBorder="1" applyAlignment="1" applyProtection="1">
      <alignment horizontal="center" vertical="center"/>
      <protection hidden="1"/>
    </xf>
    <xf numFmtId="0" fontId="0" fillId="37" borderId="25" xfId="0" applyFill="1" applyBorder="1" applyAlignment="1" applyProtection="1">
      <alignment horizontal="left" vertical="center"/>
    </xf>
    <xf numFmtId="2" fontId="8" fillId="37" borderId="10" xfId="0" applyNumberFormat="1" applyFont="1" applyFill="1" applyBorder="1" applyAlignment="1" applyProtection="1">
      <alignment horizontal="center" vertical="center"/>
    </xf>
    <xf numFmtId="2" fontId="4" fillId="37" borderId="10" xfId="0" applyNumberFormat="1" applyFont="1" applyFill="1" applyBorder="1" applyAlignment="1" applyProtection="1">
      <alignment horizontal="center" vertical="center"/>
    </xf>
    <xf numFmtId="0" fontId="4" fillId="37" borderId="10" xfId="0" applyFont="1" applyFill="1" applyBorder="1" applyAlignment="1" applyProtection="1">
      <alignment horizontal="center"/>
    </xf>
    <xf numFmtId="0" fontId="9" fillId="34" borderId="41" xfId="0" applyFont="1" applyFill="1" applyBorder="1" applyAlignment="1" applyProtection="1">
      <alignment horizontal="center" vertical="center"/>
      <protection hidden="1"/>
    </xf>
    <xf numFmtId="0" fontId="2" fillId="34" borderId="40" xfId="46" applyFont="1" applyFill="1" applyBorder="1" applyAlignment="1">
      <alignment horizontal="left" vertical="center"/>
    </xf>
    <xf numFmtId="0" fontId="9" fillId="38" borderId="24" xfId="0" applyFont="1" applyFill="1" applyBorder="1" applyAlignment="1" applyProtection="1">
      <alignment horizontal="left" vertical="center"/>
    </xf>
    <xf numFmtId="0" fontId="2" fillId="38" borderId="41" xfId="0" applyFont="1" applyFill="1" applyBorder="1" applyAlignment="1" applyProtection="1">
      <alignment horizontal="center" vertical="center"/>
      <protection hidden="1"/>
    </xf>
    <xf numFmtId="0" fontId="0" fillId="38" borderId="25" xfId="0" applyFill="1" applyBorder="1" applyAlignment="1" applyProtection="1">
      <alignment horizontal="left" vertical="center"/>
    </xf>
    <xf numFmtId="2" fontId="8" fillId="38" borderId="10" xfId="0" applyNumberFormat="1" applyFont="1" applyFill="1" applyBorder="1" applyAlignment="1" applyProtection="1">
      <alignment horizontal="center" vertical="center"/>
    </xf>
    <xf numFmtId="0" fontId="4" fillId="38" borderId="10" xfId="0" applyFont="1" applyFill="1" applyBorder="1" applyAlignment="1" applyProtection="1">
      <alignment horizontal="center"/>
    </xf>
    <xf numFmtId="0" fontId="9" fillId="39" borderId="24" xfId="0" applyFont="1" applyFill="1" applyBorder="1" applyAlignment="1" applyProtection="1">
      <alignment horizontal="left" vertical="center"/>
    </xf>
    <xf numFmtId="0" fontId="2" fillId="39" borderId="41" xfId="0" applyFont="1" applyFill="1" applyBorder="1" applyAlignment="1" applyProtection="1">
      <alignment horizontal="center" vertical="center"/>
      <protection hidden="1"/>
    </xf>
    <xf numFmtId="0" fontId="0" fillId="39" borderId="25" xfId="0" applyFill="1" applyBorder="1" applyAlignment="1" applyProtection="1">
      <alignment horizontal="left" vertical="center"/>
    </xf>
    <xf numFmtId="2" fontId="8" fillId="39" borderId="10" xfId="0" applyNumberFormat="1" applyFont="1" applyFill="1" applyBorder="1" applyAlignment="1" applyProtection="1">
      <alignment horizontal="center" vertical="center"/>
    </xf>
    <xf numFmtId="0" fontId="4" fillId="39" borderId="10" xfId="0" applyFont="1" applyFill="1" applyBorder="1" applyAlignment="1" applyProtection="1">
      <alignment horizontal="center"/>
    </xf>
    <xf numFmtId="0" fontId="9" fillId="40" borderId="24" xfId="0" applyFont="1" applyFill="1" applyBorder="1" applyAlignment="1" applyProtection="1">
      <alignment horizontal="left" vertical="center"/>
    </xf>
    <xf numFmtId="0" fontId="2" fillId="40" borderId="45" xfId="0" applyFont="1" applyFill="1" applyBorder="1" applyAlignment="1" applyProtection="1">
      <alignment horizontal="center" vertical="center"/>
      <protection hidden="1"/>
    </xf>
    <xf numFmtId="0" fontId="0" fillId="40" borderId="25" xfId="0" applyFill="1" applyBorder="1" applyAlignment="1" applyProtection="1">
      <alignment horizontal="left" vertical="center"/>
    </xf>
    <xf numFmtId="2" fontId="8" fillId="40" borderId="10" xfId="0" applyNumberFormat="1" applyFont="1" applyFill="1" applyBorder="1" applyAlignment="1" applyProtection="1">
      <alignment horizontal="center" vertical="center"/>
    </xf>
    <xf numFmtId="0" fontId="4" fillId="40" borderId="10" xfId="0" applyFont="1" applyFill="1" applyBorder="1" applyAlignment="1" applyProtection="1">
      <alignment horizontal="center"/>
    </xf>
    <xf numFmtId="0" fontId="9" fillId="41" borderId="24" xfId="0" applyFont="1" applyFill="1" applyBorder="1" applyAlignment="1" applyProtection="1">
      <alignment horizontal="left" vertical="center"/>
    </xf>
    <xf numFmtId="0" fontId="9" fillId="41" borderId="40" xfId="0" applyFont="1" applyFill="1" applyBorder="1" applyAlignment="1" applyProtection="1">
      <alignment horizontal="center" vertical="center"/>
      <protection hidden="1"/>
    </xf>
    <xf numFmtId="0" fontId="0" fillId="41" borderId="25" xfId="0" applyFill="1" applyBorder="1" applyAlignment="1" applyProtection="1">
      <alignment horizontal="left" vertical="center"/>
    </xf>
    <xf numFmtId="2" fontId="8" fillId="41" borderId="10" xfId="0" applyNumberFormat="1" applyFont="1" applyFill="1" applyBorder="1" applyAlignment="1" applyProtection="1">
      <alignment horizontal="center" vertical="center"/>
    </xf>
    <xf numFmtId="0" fontId="4" fillId="41" borderId="10" xfId="0" applyFont="1" applyFill="1" applyBorder="1" applyAlignment="1" applyProtection="1">
      <alignment horizontal="center"/>
    </xf>
    <xf numFmtId="0" fontId="2" fillId="34" borderId="41" xfId="0" applyFont="1" applyFill="1" applyBorder="1" applyAlignment="1" applyProtection="1">
      <alignment horizontal="center" vertical="center"/>
      <protection hidden="1"/>
    </xf>
    <xf numFmtId="0" fontId="2" fillId="37" borderId="23" xfId="0" applyFont="1" applyFill="1" applyBorder="1" applyAlignment="1" applyProtection="1">
      <alignment horizontal="left" vertical="center"/>
    </xf>
    <xf numFmtId="0" fontId="2" fillId="37" borderId="41" xfId="0" applyFont="1" applyFill="1" applyBorder="1" applyAlignment="1" applyProtection="1">
      <alignment horizontal="center" vertical="center"/>
      <protection hidden="1"/>
    </xf>
    <xf numFmtId="0" fontId="2" fillId="37" borderId="43" xfId="0" applyFont="1" applyFill="1" applyBorder="1" applyAlignment="1" applyProtection="1">
      <alignment horizontal="center" vertical="center"/>
      <protection hidden="1"/>
    </xf>
    <xf numFmtId="0" fontId="2" fillId="38" borderId="10" xfId="0" applyFont="1" applyFill="1" applyBorder="1" applyAlignment="1" applyProtection="1">
      <alignment horizontal="center" vertical="center"/>
      <protection hidden="1"/>
    </xf>
    <xf numFmtId="0" fontId="2" fillId="34" borderId="10" xfId="0" applyFont="1" applyFill="1" applyBorder="1" applyAlignment="1" applyProtection="1">
      <alignment horizontal="center" vertical="center"/>
      <protection hidden="1"/>
    </xf>
    <xf numFmtId="0" fontId="2" fillId="37" borderId="25" xfId="0" applyFont="1" applyFill="1" applyBorder="1" applyAlignment="1" applyProtection="1">
      <alignment horizontal="center" vertical="center"/>
      <protection hidden="1"/>
    </xf>
    <xf numFmtId="0" fontId="2" fillId="25" borderId="39" xfId="0" applyFont="1" applyFill="1" applyBorder="1" applyAlignment="1" applyProtection="1">
      <alignment horizontal="center" vertical="center"/>
      <protection hidden="1"/>
    </xf>
    <xf numFmtId="0" fontId="2" fillId="0" borderId="43" xfId="0" applyFont="1" applyFill="1" applyBorder="1" applyAlignment="1" applyProtection="1">
      <alignment horizontal="center" vertical="center"/>
      <protection hidden="1"/>
    </xf>
    <xf numFmtId="0" fontId="2" fillId="42" borderId="25" xfId="0" applyFont="1" applyFill="1" applyBorder="1" applyAlignment="1" applyProtection="1">
      <alignment horizontal="center" vertical="center"/>
      <protection hidden="1"/>
    </xf>
    <xf numFmtId="0" fontId="2" fillId="41" borderId="10" xfId="0" applyFont="1" applyFill="1" applyBorder="1" applyAlignment="1" applyProtection="1">
      <alignment horizontal="center" vertical="center"/>
      <protection hidden="1"/>
    </xf>
    <xf numFmtId="0" fontId="2" fillId="0" borderId="25" xfId="0" applyFont="1" applyFill="1" applyBorder="1" applyAlignment="1" applyProtection="1">
      <alignment horizontal="center" vertical="center"/>
      <protection hidden="1"/>
    </xf>
    <xf numFmtId="0" fontId="2" fillId="0" borderId="42" xfId="0" applyFont="1" applyFill="1" applyBorder="1" applyAlignment="1" applyProtection="1">
      <alignment horizontal="center" vertical="center"/>
      <protection hidden="1"/>
    </xf>
    <xf numFmtId="1" fontId="2" fillId="0" borderId="10" xfId="46" applyNumberFormat="1" applyBorder="1" applyAlignment="1">
      <alignment horizontal="center" vertical="center"/>
    </xf>
    <xf numFmtId="0" fontId="2" fillId="0" borderId="10" xfId="46" applyBorder="1" applyAlignment="1">
      <alignment horizontal="center"/>
    </xf>
    <xf numFmtId="0" fontId="2" fillId="0" borderId="31" xfId="46" applyBorder="1" applyAlignment="1">
      <alignment horizontal="center"/>
    </xf>
    <xf numFmtId="0" fontId="2" fillId="0" borderId="33" xfId="46" applyBorder="1" applyAlignment="1">
      <alignment horizontal="center"/>
    </xf>
    <xf numFmtId="3" fontId="2" fillId="0" borderId="10" xfId="45" applyNumberFormat="1" applyBorder="1" applyAlignment="1">
      <alignment horizontal="center" vertical="center"/>
    </xf>
    <xf numFmtId="2" fontId="11" fillId="0" borderId="10" xfId="46" applyNumberFormat="1" applyFont="1" applyBorder="1" applyAlignment="1" applyProtection="1">
      <alignment horizontal="center" vertical="center"/>
    </xf>
    <xf numFmtId="0" fontId="11" fillId="0" borderId="10" xfId="46" applyFont="1" applyBorder="1" applyAlignment="1">
      <alignment horizontal="center"/>
    </xf>
    <xf numFmtId="2" fontId="11" fillId="0" borderId="10" xfId="46" applyNumberFormat="1" applyFont="1" applyFill="1" applyBorder="1" applyAlignment="1" applyProtection="1">
      <alignment horizontal="center" vertical="center"/>
    </xf>
    <xf numFmtId="3" fontId="2" fillId="0" borderId="10" xfId="45" applyNumberFormat="1" applyFill="1" applyBorder="1" applyAlignment="1">
      <alignment horizontal="center" vertical="center"/>
    </xf>
    <xf numFmtId="1" fontId="2" fillId="0" borderId="10" xfId="46" applyNumberFormat="1" applyFill="1" applyBorder="1" applyAlignment="1">
      <alignment horizontal="center" vertical="center"/>
    </xf>
    <xf numFmtId="2" fontId="11" fillId="0" borderId="32" xfId="46" applyNumberFormat="1" applyFont="1" applyFill="1" applyBorder="1" applyAlignment="1" applyProtection="1">
      <alignment horizontal="center" vertical="center"/>
    </xf>
    <xf numFmtId="3" fontId="2" fillId="0" borderId="32" xfId="45" applyNumberFormat="1" applyFill="1" applyBorder="1" applyAlignment="1">
      <alignment horizontal="center" vertical="center"/>
    </xf>
    <xf numFmtId="1" fontId="2" fillId="0" borderId="32" xfId="46" applyNumberFormat="1" applyFill="1" applyBorder="1" applyAlignment="1">
      <alignment horizontal="center" vertical="center"/>
    </xf>
    <xf numFmtId="0" fontId="2" fillId="36" borderId="23" xfId="0" applyFont="1" applyFill="1" applyBorder="1" applyAlignment="1" applyProtection="1">
      <alignment horizontal="left" vertical="center"/>
    </xf>
    <xf numFmtId="0" fontId="2" fillId="36" borderId="40" xfId="0" applyFont="1" applyFill="1" applyBorder="1" applyAlignment="1" applyProtection="1">
      <alignment horizontal="center" vertical="center"/>
      <protection hidden="1"/>
    </xf>
    <xf numFmtId="0" fontId="2" fillId="25" borderId="40" xfId="0" applyFont="1" applyFill="1" applyBorder="1" applyAlignment="1" applyProtection="1">
      <alignment horizontal="center" vertical="center"/>
      <protection hidden="1"/>
    </xf>
    <xf numFmtId="0" fontId="2" fillId="25" borderId="25" xfId="0" applyFont="1" applyFill="1" applyBorder="1" applyAlignment="1" applyProtection="1">
      <alignment horizontal="center" vertical="center"/>
      <protection hidden="1"/>
    </xf>
    <xf numFmtId="0" fontId="2" fillId="0" borderId="25" xfId="0" applyFont="1" applyFill="1" applyBorder="1" applyAlignment="1" applyProtection="1">
      <alignment horizontal="center"/>
      <protection hidden="1"/>
    </xf>
    <xf numFmtId="0" fontId="33" fillId="0" borderId="0" xfId="0" applyNumberFormat="1" applyFont="1" applyAlignment="1">
      <alignment vertical="top" wrapText="1"/>
    </xf>
    <xf numFmtId="0" fontId="0" fillId="0" borderId="0" xfId="0" applyNumberFormat="1" applyAlignment="1">
      <alignment vertical="top" wrapText="1"/>
    </xf>
    <xf numFmtId="0" fontId="0" fillId="0" borderId="91" xfId="0" applyNumberFormat="1" applyBorder="1" applyAlignment="1">
      <alignment vertical="top" wrapText="1"/>
    </xf>
    <xf numFmtId="0" fontId="0" fillId="0" borderId="92" xfId="0" applyNumberFormat="1" applyBorder="1" applyAlignment="1">
      <alignment vertical="top" wrapText="1"/>
    </xf>
    <xf numFmtId="0" fontId="3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92" xfId="0" applyNumberFormat="1" applyBorder="1" applyAlignment="1">
      <alignment horizontal="center" vertical="top" wrapText="1"/>
    </xf>
    <xf numFmtId="0" fontId="0" fillId="0" borderId="93" xfId="0" applyNumberFormat="1" applyBorder="1" applyAlignment="1">
      <alignment horizontal="center" vertical="top" wrapText="1"/>
    </xf>
    <xf numFmtId="0" fontId="6" fillId="0" borderId="11" xfId="0" applyFont="1" applyFill="1" applyBorder="1" applyAlignment="1" applyProtection="1">
      <alignment horizontal="center"/>
    </xf>
    <xf numFmtId="0" fontId="6" fillId="0" borderId="12" xfId="0" applyFont="1" applyFill="1" applyBorder="1" applyAlignment="1" applyProtection="1">
      <alignment horizontal="center"/>
    </xf>
    <xf numFmtId="0" fontId="6" fillId="0" borderId="13" xfId="0" applyFont="1" applyFill="1" applyBorder="1" applyAlignment="1" applyProtection="1">
      <alignment horizontal="center"/>
    </xf>
    <xf numFmtId="0" fontId="6" fillId="0" borderId="16" xfId="0" applyFont="1" applyFill="1" applyBorder="1" applyAlignment="1" applyProtection="1">
      <alignment horizontal="center"/>
    </xf>
    <xf numFmtId="0" fontId="6" fillId="0" borderId="17" xfId="0" applyFont="1" applyFill="1" applyBorder="1" applyAlignment="1" applyProtection="1">
      <alignment horizontal="center"/>
    </xf>
    <xf numFmtId="0" fontId="6" fillId="0" borderId="18" xfId="0" applyFont="1" applyFill="1" applyBorder="1" applyAlignment="1" applyProtection="1">
      <alignment horizontal="center"/>
    </xf>
    <xf numFmtId="0" fontId="32" fillId="0" borderId="78" xfId="0" applyFont="1" applyBorder="1" applyAlignment="1" applyProtection="1">
      <alignment horizontal="center" vertical="center" wrapText="1"/>
      <protection hidden="1"/>
    </xf>
    <xf numFmtId="0" fontId="3" fillId="0" borderId="100" xfId="0" applyFont="1" applyBorder="1" applyAlignment="1" applyProtection="1">
      <alignment horizontal="center" vertical="center" wrapText="1"/>
      <protection hidden="1"/>
    </xf>
    <xf numFmtId="0" fontId="2" fillId="0" borderId="62" xfId="0" applyFont="1" applyBorder="1" applyAlignment="1" applyProtection="1">
      <alignment horizontal="left"/>
      <protection locked="0" hidden="1"/>
    </xf>
    <xf numFmtId="0" fontId="2" fillId="0" borderId="63" xfId="0" applyFont="1" applyBorder="1" applyAlignment="1" applyProtection="1">
      <alignment horizontal="left"/>
      <protection locked="0" hidden="1"/>
    </xf>
    <xf numFmtId="0" fontId="2" fillId="0" borderId="69" xfId="0" applyFont="1" applyBorder="1" applyAlignment="1" applyProtection="1">
      <alignment horizontal="left"/>
      <protection locked="0" hidden="1"/>
    </xf>
    <xf numFmtId="0" fontId="2" fillId="38" borderId="85" xfId="0" applyFont="1" applyFill="1" applyBorder="1" applyAlignment="1" applyProtection="1">
      <alignment horizontal="left" vertical="center"/>
    </xf>
    <xf numFmtId="0" fontId="2" fillId="38" borderId="86" xfId="0" applyFont="1" applyFill="1" applyBorder="1" applyAlignment="1" applyProtection="1">
      <alignment horizontal="left" vertical="center"/>
    </xf>
    <xf numFmtId="0" fontId="9" fillId="41" borderId="94" xfId="0" applyFont="1" applyFill="1" applyBorder="1" applyAlignment="1" applyProtection="1">
      <alignment horizontal="left" vertical="center"/>
    </xf>
    <xf numFmtId="0" fontId="9" fillId="41" borderId="84" xfId="0" applyFont="1" applyFill="1" applyBorder="1" applyAlignment="1" applyProtection="1">
      <alignment horizontal="left" vertical="center"/>
    </xf>
    <xf numFmtId="0" fontId="2" fillId="40" borderId="94" xfId="0" applyFont="1" applyFill="1" applyBorder="1" applyAlignment="1" applyProtection="1">
      <alignment horizontal="left" vertical="center"/>
    </xf>
    <xf numFmtId="0" fontId="2" fillId="40" borderId="84" xfId="0" applyFont="1" applyFill="1" applyBorder="1" applyAlignment="1" applyProtection="1">
      <alignment horizontal="left" vertical="center"/>
    </xf>
    <xf numFmtId="0" fontId="2" fillId="39" borderId="95" xfId="0" applyFont="1" applyFill="1" applyBorder="1" applyAlignment="1" applyProtection="1">
      <alignment horizontal="left" vertical="center"/>
    </xf>
    <xf numFmtId="0" fontId="2" fillId="39" borderId="83" xfId="0" applyFont="1" applyFill="1" applyBorder="1" applyAlignment="1" applyProtection="1">
      <alignment horizontal="left" vertical="center"/>
    </xf>
    <xf numFmtId="0" fontId="5" fillId="33" borderId="0" xfId="0" applyFont="1" applyFill="1" applyAlignment="1" applyProtection="1">
      <alignment horizontal="center"/>
    </xf>
    <xf numFmtId="0" fontId="5" fillId="0" borderId="0" xfId="0" applyFont="1" applyAlignment="1" applyProtection="1">
      <alignment horizontal="center"/>
    </xf>
    <xf numFmtId="0" fontId="3" fillId="0" borderId="96" xfId="0" applyFont="1" applyBorder="1" applyAlignment="1" applyProtection="1">
      <alignment horizontal="center"/>
      <protection hidden="1"/>
    </xf>
    <xf numFmtId="0" fontId="3" fillId="0" borderId="97" xfId="0" applyFont="1" applyBorder="1" applyAlignment="1" applyProtection="1">
      <alignment horizontal="center"/>
      <protection hidden="1"/>
    </xf>
    <xf numFmtId="0" fontId="3" fillId="0" borderId="77" xfId="0" applyFont="1" applyBorder="1" applyAlignment="1" applyProtection="1">
      <alignment horizontal="center" vertical="center"/>
      <protection hidden="1"/>
    </xf>
    <xf numFmtId="0" fontId="3" fillId="0" borderId="98" xfId="0" applyFont="1" applyBorder="1" applyAlignment="1" applyProtection="1">
      <alignment horizontal="center" vertical="center"/>
      <protection hidden="1"/>
    </xf>
    <xf numFmtId="0" fontId="3" fillId="0" borderId="99" xfId="0" applyFont="1" applyBorder="1" applyAlignment="1" applyProtection="1">
      <alignment horizontal="center"/>
      <protection hidden="1"/>
    </xf>
    <xf numFmtId="0" fontId="3" fillId="0" borderId="20" xfId="0" applyFont="1" applyBorder="1" applyAlignment="1" applyProtection="1">
      <alignment horizontal="center"/>
      <protection hidden="1"/>
    </xf>
    <xf numFmtId="0" fontId="5" fillId="33" borderId="0" xfId="0" applyFont="1" applyFill="1" applyAlignment="1" applyProtection="1">
      <alignment horizontal="center"/>
      <protection hidden="1"/>
    </xf>
    <xf numFmtId="0" fontId="5" fillId="0" borderId="0" xfId="0" applyFont="1" applyAlignment="1" applyProtection="1">
      <alignment horizontal="center"/>
      <protection hidden="1"/>
    </xf>
    <xf numFmtId="0" fontId="6" fillId="0" borderId="12" xfId="0" applyFont="1" applyFill="1" applyBorder="1" applyAlignment="1" applyProtection="1">
      <alignment horizontal="center"/>
      <protection hidden="1"/>
    </xf>
    <xf numFmtId="0" fontId="6" fillId="0" borderId="13" xfId="0" applyFont="1" applyFill="1" applyBorder="1" applyAlignment="1" applyProtection="1">
      <alignment horizontal="center"/>
      <protection hidden="1"/>
    </xf>
    <xf numFmtId="0" fontId="6" fillId="0" borderId="17" xfId="0" applyFont="1" applyFill="1" applyBorder="1" applyAlignment="1" applyProtection="1">
      <alignment horizontal="center"/>
      <protection hidden="1"/>
    </xf>
    <xf numFmtId="0" fontId="6" fillId="0" borderId="18" xfId="0" applyFont="1" applyFill="1" applyBorder="1" applyAlignment="1" applyProtection="1">
      <alignment horizontal="center"/>
      <protection hidden="1"/>
    </xf>
    <xf numFmtId="0" fontId="6" fillId="0" borderId="11" xfId="0" applyFont="1" applyFill="1" applyBorder="1" applyAlignment="1" applyProtection="1">
      <alignment horizontal="center"/>
      <protection hidden="1"/>
    </xf>
    <xf numFmtId="0" fontId="6" fillId="0" borderId="16" xfId="0" applyFont="1" applyFill="1" applyBorder="1" applyAlignment="1" applyProtection="1">
      <alignment horizontal="center"/>
      <protection hidden="1"/>
    </xf>
    <xf numFmtId="0" fontId="3" fillId="0" borderId="78" xfId="0" applyFont="1" applyBorder="1" applyAlignment="1" applyProtection="1">
      <alignment horizontal="center" vertical="center" wrapText="1"/>
      <protection hidden="1"/>
    </xf>
    <xf numFmtId="0" fontId="6" fillId="34" borderId="11" xfId="0" applyFont="1" applyFill="1" applyBorder="1" applyAlignment="1" applyProtection="1">
      <alignment horizontal="center"/>
      <protection hidden="1"/>
    </xf>
    <xf numFmtId="0" fontId="6" fillId="34" borderId="12" xfId="0" applyFont="1" applyFill="1" applyBorder="1" applyAlignment="1" applyProtection="1">
      <alignment horizontal="center"/>
      <protection hidden="1"/>
    </xf>
    <xf numFmtId="0" fontId="6" fillId="34" borderId="13" xfId="0" applyFont="1" applyFill="1" applyBorder="1" applyAlignment="1" applyProtection="1">
      <alignment horizontal="center"/>
      <protection hidden="1"/>
    </xf>
    <xf numFmtId="0" fontId="3" fillId="0" borderId="78" xfId="0" applyFont="1" applyBorder="1" applyAlignment="1" applyProtection="1">
      <alignment horizontal="center" vertical="center"/>
      <protection hidden="1"/>
    </xf>
    <xf numFmtId="0" fontId="3" fillId="0" borderId="100" xfId="0" applyFont="1" applyBorder="1" applyAlignment="1" applyProtection="1">
      <alignment horizontal="center" vertical="center"/>
      <protection hidden="1"/>
    </xf>
    <xf numFmtId="0" fontId="6" fillId="34" borderId="16" xfId="0" applyFont="1" applyFill="1" applyBorder="1" applyAlignment="1" applyProtection="1">
      <alignment horizontal="center"/>
      <protection hidden="1"/>
    </xf>
    <xf numFmtId="0" fontId="6" fillId="34" borderId="17" xfId="0" applyFont="1" applyFill="1" applyBorder="1" applyAlignment="1" applyProtection="1">
      <alignment horizontal="center"/>
      <protection hidden="1"/>
    </xf>
    <xf numFmtId="0" fontId="6" fillId="34" borderId="18" xfId="0" applyFont="1" applyFill="1" applyBorder="1" applyAlignment="1" applyProtection="1">
      <alignment horizontal="center"/>
      <protection hidden="1"/>
    </xf>
    <xf numFmtId="0" fontId="3" fillId="0" borderId="62" xfId="0" applyFont="1" applyFill="1" applyBorder="1" applyAlignment="1" applyProtection="1">
      <alignment horizontal="center"/>
      <protection hidden="1"/>
    </xf>
    <xf numFmtId="0" fontId="3" fillId="0" borderId="69" xfId="0" applyFon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0" fontId="3" fillId="0" borderId="52" xfId="0" applyFont="1" applyFill="1" applyBorder="1" applyAlignment="1" applyProtection="1">
      <alignment horizontal="center"/>
      <protection hidden="1"/>
    </xf>
    <xf numFmtId="0" fontId="6" fillId="34" borderId="11" xfId="0" applyFont="1" applyFill="1" applyBorder="1" applyAlignment="1" applyProtection="1">
      <alignment horizontal="center" vertical="center"/>
      <protection hidden="1"/>
    </xf>
    <xf numFmtId="0" fontId="6" fillId="34" borderId="12" xfId="0" applyFont="1" applyFill="1" applyBorder="1" applyAlignment="1" applyProtection="1">
      <alignment horizontal="center" vertical="center"/>
      <protection hidden="1"/>
    </xf>
    <xf numFmtId="0" fontId="6" fillId="34" borderId="13" xfId="0" applyFont="1" applyFill="1" applyBorder="1" applyAlignment="1" applyProtection="1">
      <alignment horizontal="center" vertical="center"/>
      <protection hidden="1"/>
    </xf>
    <xf numFmtId="0" fontId="6" fillId="34" borderId="14" xfId="0" applyFont="1" applyFill="1" applyBorder="1" applyAlignment="1" applyProtection="1">
      <alignment horizontal="center" vertical="center"/>
      <protection hidden="1"/>
    </xf>
    <xf numFmtId="0" fontId="6" fillId="34" borderId="0" xfId="0" applyFont="1" applyFill="1" applyBorder="1" applyAlignment="1" applyProtection="1">
      <alignment horizontal="center" vertical="center"/>
      <protection hidden="1"/>
    </xf>
    <xf numFmtId="0" fontId="6" fillId="34" borderId="15" xfId="0" applyFont="1" applyFill="1" applyBorder="1" applyAlignment="1" applyProtection="1">
      <alignment horizontal="center" vertical="center"/>
      <protection hidden="1"/>
    </xf>
    <xf numFmtId="0" fontId="6" fillId="34" borderId="16" xfId="0" applyFont="1" applyFill="1" applyBorder="1" applyAlignment="1" applyProtection="1">
      <alignment horizontal="center" vertical="center"/>
      <protection hidden="1"/>
    </xf>
    <xf numFmtId="0" fontId="6" fillId="34" borderId="17" xfId="0" applyFont="1" applyFill="1" applyBorder="1" applyAlignment="1" applyProtection="1">
      <alignment horizontal="center" vertical="center"/>
      <protection hidden="1"/>
    </xf>
    <xf numFmtId="0" fontId="6" fillId="34" borderId="18" xfId="0" applyFont="1" applyFill="1" applyBorder="1" applyAlignment="1" applyProtection="1">
      <alignment horizontal="center" vertical="center"/>
      <protection hidden="1"/>
    </xf>
    <xf numFmtId="0" fontId="2" fillId="34" borderId="48" xfId="0" applyFont="1" applyFill="1" applyBorder="1" applyAlignment="1" applyProtection="1">
      <alignment horizontal="left" vertical="center"/>
      <protection locked="0" hidden="1"/>
    </xf>
    <xf numFmtId="0" fontId="30" fillId="0" borderId="0" xfId="0" applyFont="1" applyFill="1" applyBorder="1" applyAlignment="1" applyProtection="1">
      <alignment horizontal="center"/>
      <protection hidden="1"/>
    </xf>
    <xf numFmtId="0" fontId="30" fillId="0" borderId="52" xfId="0" applyFont="1" applyFill="1" applyBorder="1" applyAlignment="1" applyProtection="1">
      <alignment horizontal="center"/>
      <protection hidden="1"/>
    </xf>
    <xf numFmtId="0" fontId="3" fillId="31" borderId="56" xfId="0" applyFont="1" applyFill="1" applyBorder="1" applyAlignment="1" applyProtection="1">
      <alignment horizontal="center"/>
      <protection hidden="1"/>
    </xf>
    <xf numFmtId="0" fontId="3" fillId="31" borderId="57" xfId="0" applyFont="1" applyFill="1" applyBorder="1" applyAlignment="1" applyProtection="1">
      <alignment horizontal="center"/>
      <protection hidden="1"/>
    </xf>
    <xf numFmtId="0" fontId="3" fillId="29" borderId="56" xfId="0" applyFont="1" applyFill="1" applyBorder="1" applyAlignment="1" applyProtection="1">
      <alignment horizontal="center"/>
      <protection hidden="1"/>
    </xf>
    <xf numFmtId="0" fontId="3" fillId="29" borderId="34" xfId="0" applyFont="1" applyFill="1" applyBorder="1" applyAlignment="1" applyProtection="1">
      <alignment horizontal="center"/>
      <protection hidden="1"/>
    </xf>
    <xf numFmtId="0" fontId="3" fillId="29" borderId="57" xfId="0" applyFont="1" applyFill="1" applyBorder="1" applyAlignment="1" applyProtection="1">
      <alignment horizontal="center"/>
      <protection hidden="1"/>
    </xf>
    <xf numFmtId="0" fontId="3" fillId="24" borderId="56" xfId="0" applyFont="1" applyFill="1" applyBorder="1" applyAlignment="1" applyProtection="1">
      <alignment horizontal="center"/>
      <protection hidden="1"/>
    </xf>
    <xf numFmtId="0" fontId="3" fillId="24" borderId="34" xfId="0" applyFont="1" applyFill="1" applyBorder="1" applyAlignment="1" applyProtection="1">
      <alignment horizontal="center"/>
      <protection hidden="1"/>
    </xf>
    <xf numFmtId="0" fontId="3" fillId="24" borderId="57" xfId="0" applyFont="1" applyFill="1" applyBorder="1" applyAlignment="1" applyProtection="1">
      <alignment horizontal="center"/>
      <protection hidden="1"/>
    </xf>
    <xf numFmtId="0" fontId="0" fillId="0" borderId="48" xfId="0" applyBorder="1" applyAlignment="1" applyProtection="1">
      <alignment horizontal="center"/>
      <protection hidden="1"/>
    </xf>
    <xf numFmtId="0" fontId="0" fillId="0" borderId="62" xfId="0" applyBorder="1" applyAlignment="1" applyProtection="1">
      <alignment horizontal="center"/>
      <protection hidden="1"/>
    </xf>
    <xf numFmtId="0" fontId="0" fillId="0" borderId="62" xfId="0" applyFill="1" applyBorder="1" applyAlignment="1" applyProtection="1">
      <alignment horizontal="center"/>
      <protection hidden="1"/>
    </xf>
    <xf numFmtId="0" fontId="0" fillId="0" borderId="63" xfId="0" applyFill="1" applyBorder="1" applyAlignment="1" applyProtection="1">
      <alignment horizontal="center"/>
      <protection hidden="1"/>
    </xf>
    <xf numFmtId="0" fontId="0" fillId="0" borderId="69" xfId="0" applyFill="1" applyBorder="1" applyAlignment="1" applyProtection="1">
      <alignment horizontal="center"/>
      <protection hidden="1"/>
    </xf>
    <xf numFmtId="0" fontId="3" fillId="0" borderId="60" xfId="0" applyFont="1" applyBorder="1" applyAlignment="1" applyProtection="1">
      <alignment horizontal="center"/>
      <protection hidden="1"/>
    </xf>
    <xf numFmtId="0" fontId="3" fillId="0" borderId="38" xfId="0" applyFont="1" applyBorder="1" applyAlignment="1" applyProtection="1">
      <alignment horizontal="center"/>
      <protection hidden="1"/>
    </xf>
    <xf numFmtId="0" fontId="3" fillId="0" borderId="101" xfId="0" applyFont="1" applyBorder="1" applyAlignment="1" applyProtection="1">
      <alignment horizontal="center"/>
      <protection hidden="1"/>
    </xf>
    <xf numFmtId="0" fontId="3" fillId="0" borderId="72" xfId="0" applyFont="1" applyBorder="1" applyAlignment="1" applyProtection="1">
      <alignment horizontal="center"/>
      <protection hidden="1"/>
    </xf>
    <xf numFmtId="0" fontId="3" fillId="0" borderId="44" xfId="0" applyFont="1" applyBorder="1" applyAlignment="1" applyProtection="1">
      <alignment horizontal="center"/>
      <protection hidden="1"/>
    </xf>
    <xf numFmtId="0" fontId="3" fillId="0" borderId="82" xfId="0" applyFont="1" applyBorder="1" applyAlignment="1" applyProtection="1">
      <alignment horizontal="center"/>
      <protection hidden="1"/>
    </xf>
    <xf numFmtId="0" fontId="3" fillId="0" borderId="26" xfId="0" applyFont="1" applyBorder="1" applyAlignment="1" applyProtection="1">
      <alignment horizontal="center"/>
      <protection hidden="1"/>
    </xf>
    <xf numFmtId="0" fontId="3" fillId="0" borderId="24" xfId="0" applyFont="1" applyBorder="1" applyAlignment="1" applyProtection="1">
      <alignment horizontal="center"/>
      <protection hidden="1"/>
    </xf>
    <xf numFmtId="0" fontId="30" fillId="26" borderId="10" xfId="0" applyFont="1" applyFill="1" applyBorder="1" applyAlignment="1" applyProtection="1">
      <alignment horizontal="center"/>
      <protection hidden="1"/>
    </xf>
    <xf numFmtId="0" fontId="30" fillId="26" borderId="66" xfId="0" applyFont="1" applyFill="1" applyBorder="1" applyAlignment="1" applyProtection="1">
      <alignment horizontal="center"/>
      <protection hidden="1"/>
    </xf>
    <xf numFmtId="0" fontId="0" fillId="0" borderId="10" xfId="0" applyBorder="1" applyAlignment="1" applyProtection="1">
      <alignment horizontal="center"/>
      <protection hidden="1"/>
    </xf>
    <xf numFmtId="0" fontId="0" fillId="0" borderId="76" xfId="0" applyBorder="1" applyAlignment="1" applyProtection="1">
      <alignment horizontal="center"/>
      <protection hidden="1"/>
    </xf>
    <xf numFmtId="0" fontId="0" fillId="0" borderId="44" xfId="0" applyBorder="1" applyAlignment="1" applyProtection="1">
      <alignment horizontal="center"/>
      <protection hidden="1"/>
    </xf>
    <xf numFmtId="0" fontId="3" fillId="0" borderId="61" xfId="0" applyFont="1" applyBorder="1" applyAlignment="1" applyProtection="1">
      <alignment horizontal="center"/>
      <protection hidden="1"/>
    </xf>
    <xf numFmtId="1" fontId="3" fillId="0" borderId="102" xfId="0" quotePrefix="1" applyNumberFormat="1" applyFont="1" applyFill="1" applyBorder="1" applyAlignment="1" applyProtection="1">
      <alignment horizontal="center"/>
      <protection hidden="1"/>
    </xf>
    <xf numFmtId="1" fontId="3" fillId="0" borderId="46" xfId="0" quotePrefix="1" applyNumberFormat="1" applyFont="1" applyFill="1" applyBorder="1" applyAlignment="1" applyProtection="1">
      <alignment horizontal="center"/>
      <protection hidden="1"/>
    </xf>
    <xf numFmtId="1" fontId="3" fillId="0" borderId="88" xfId="0" quotePrefix="1" applyNumberFormat="1" applyFont="1" applyFill="1" applyBorder="1" applyAlignment="1" applyProtection="1">
      <alignment horizontal="center"/>
      <protection hidden="1"/>
    </xf>
    <xf numFmtId="0" fontId="0" fillId="0" borderId="0" xfId="0" applyFill="1" applyBorder="1" applyAlignment="1" applyProtection="1">
      <alignment horizontal="center"/>
      <protection hidden="1"/>
    </xf>
    <xf numFmtId="0" fontId="3" fillId="0" borderId="0" xfId="0" applyFont="1" applyBorder="1" applyAlignment="1" applyProtection="1">
      <alignment horizontal="center"/>
      <protection hidden="1"/>
    </xf>
    <xf numFmtId="3" fontId="3" fillId="28" borderId="103" xfId="0" applyNumberFormat="1" applyFont="1" applyFill="1" applyBorder="1" applyAlignment="1" applyProtection="1">
      <alignment horizontal="center"/>
      <protection hidden="1"/>
    </xf>
    <xf numFmtId="3" fontId="3" fillId="28" borderId="104" xfId="0" applyNumberFormat="1" applyFont="1" applyFill="1" applyBorder="1" applyAlignment="1" applyProtection="1">
      <alignment horizontal="center"/>
      <protection hidden="1"/>
    </xf>
    <xf numFmtId="0" fontId="2" fillId="0" borderId="48" xfId="0" applyFont="1" applyBorder="1" applyAlignment="1" applyProtection="1">
      <alignment horizontal="left"/>
      <protection locked="0" hidden="1"/>
    </xf>
    <xf numFmtId="0" fontId="0" fillId="0" borderId="48" xfId="0" applyBorder="1" applyAlignment="1" applyProtection="1">
      <alignment horizontal="left"/>
      <protection locked="0" hidden="1"/>
    </xf>
  </cellXfs>
  <cellStyles count="63">
    <cellStyle name="1000-sep (2 dec)_0.1 Alpha Wafer Quick Calc 13.02.2011 JKR" xfId="1"/>
    <cellStyle name="20 % - Akzent1" xfId="2"/>
    <cellStyle name="20 % - Akzent1 2" xfId="3"/>
    <cellStyle name="20 % - Akzent2" xfId="4"/>
    <cellStyle name="20 % - Akzent2 2" xfId="5"/>
    <cellStyle name="20 % - Akzent3" xfId="6"/>
    <cellStyle name="20 % - Akzent3 2" xfId="7"/>
    <cellStyle name="20 % - Akzent4" xfId="8"/>
    <cellStyle name="20 % - Akzent4 2" xfId="9"/>
    <cellStyle name="20 % - Akzent5" xfId="10"/>
    <cellStyle name="20 % - Akzent5 2" xfId="11"/>
    <cellStyle name="20 % - Akzent6" xfId="12"/>
    <cellStyle name="20 % - Akzent6 2" xfId="13"/>
    <cellStyle name="40 % - Akzent1" xfId="14"/>
    <cellStyle name="40 % - Akzent1 2" xfId="15"/>
    <cellStyle name="40 % - Akzent2" xfId="16"/>
    <cellStyle name="40 % - Akzent2 2" xfId="17"/>
    <cellStyle name="40 % - Akzent3" xfId="18"/>
    <cellStyle name="40 % - Akzent3 2" xfId="19"/>
    <cellStyle name="40 % - Akzent4" xfId="20"/>
    <cellStyle name="40 % - Akzent4 2" xfId="21"/>
    <cellStyle name="40 % - Akzent5" xfId="22"/>
    <cellStyle name="40 % - Akzent5 2" xfId="23"/>
    <cellStyle name="40 % - Akzent6" xfId="24"/>
    <cellStyle name="40 % - Akzent6 2" xfId="25"/>
    <cellStyle name="60 % - Akzent1" xfId="26"/>
    <cellStyle name="60 % - Akzent2" xfId="27"/>
    <cellStyle name="60 % - Akzent3" xfId="28"/>
    <cellStyle name="60 % - Akzent4" xfId="29"/>
    <cellStyle name="60 % - Akzent5" xfId="30"/>
    <cellStyle name="60 % - Akzent6" xfId="31"/>
    <cellStyle name="Akzent1" xfId="32"/>
    <cellStyle name="Akzent2" xfId="33"/>
    <cellStyle name="Akzent3" xfId="34"/>
    <cellStyle name="Akzent4" xfId="35"/>
    <cellStyle name="Akzent5" xfId="36"/>
    <cellStyle name="Akzent6" xfId="37"/>
    <cellStyle name="Ausgabe" xfId="38"/>
    <cellStyle name="Berechnung" xfId="39"/>
    <cellStyle name="Eingabe" xfId="40"/>
    <cellStyle name="Ergebnis" xfId="41"/>
    <cellStyle name="Erklärender Text" xfId="42"/>
    <cellStyle name="Gut" xfId="43"/>
    <cellStyle name="Komma 2" xfId="44"/>
    <cellStyle name="Milliers" xfId="45" builtinId="3"/>
    <cellStyle name="Normal" xfId="0" builtinId="0"/>
    <cellStyle name="Normal 2" xfId="46"/>
    <cellStyle name="Normal 3" xfId="47"/>
    <cellStyle name="Notiz" xfId="48"/>
    <cellStyle name="Notiz 2" xfId="49"/>
    <cellStyle name="Procent 2" xfId="50"/>
    <cellStyle name="Procent 2 2" xfId="51"/>
    <cellStyle name="Procent 2 2 2" xfId="52"/>
    <cellStyle name="Procent 2 3" xfId="53"/>
    <cellStyle name="Schlecht" xfId="54"/>
    <cellStyle name="Überschrift" xfId="55"/>
    <cellStyle name="Überschrift 1" xfId="56"/>
    <cellStyle name="Überschrift 2" xfId="57"/>
    <cellStyle name="Überschrift 3" xfId="58"/>
    <cellStyle name="Überschrift 4" xfId="59"/>
    <cellStyle name="Verknüpfte Zelle" xfId="60"/>
    <cellStyle name="Warnender Text" xfId="61"/>
    <cellStyle name="Zelle überprüfen" xfId="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7.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9.png"/><Relationship Id="rId1" Type="http://schemas.openxmlformats.org/officeDocument/2006/relationships/image" Target="../media/image8.emf"/></Relationships>
</file>

<file path=xl/drawings/_rels/drawing4.xml.rels><?xml version="1.0" encoding="UTF-8" standalone="yes"?>
<Relationships xmlns="http://schemas.openxmlformats.org/package/2006/relationships"><Relationship Id="rId3" Type="http://schemas.openxmlformats.org/officeDocument/2006/relationships/image" Target="../media/image12.jpeg"/><Relationship Id="rId2" Type="http://schemas.openxmlformats.org/officeDocument/2006/relationships/image" Target="../media/image11.emf"/><Relationship Id="rId1" Type="http://schemas.openxmlformats.org/officeDocument/2006/relationships/image" Target="../media/image10.jpe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4.png"/><Relationship Id="rId1" Type="http://schemas.openxmlformats.org/officeDocument/2006/relationships/image" Target="../media/image13.jpeg"/></Relationships>
</file>

<file path=xl/drawings/drawing1.xml><?xml version="1.0" encoding="utf-8"?>
<xdr:wsDr xmlns:xdr="http://schemas.openxmlformats.org/drawingml/2006/spreadsheetDrawing" xmlns:a="http://schemas.openxmlformats.org/drawingml/2006/main">
  <xdr:twoCellAnchor editAs="oneCell">
    <xdr:from>
      <xdr:col>6</xdr:col>
      <xdr:colOff>76200</xdr:colOff>
      <xdr:row>28</xdr:row>
      <xdr:rowOff>66675</xdr:rowOff>
    </xdr:from>
    <xdr:to>
      <xdr:col>9</xdr:col>
      <xdr:colOff>28575</xdr:colOff>
      <xdr:row>40</xdr:row>
      <xdr:rowOff>114300</xdr:rowOff>
    </xdr:to>
    <xdr:pic>
      <xdr:nvPicPr>
        <xdr:cNvPr id="2551"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38825" y="4876800"/>
          <a:ext cx="3143250" cy="199072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723900</xdr:colOff>
      <xdr:row>29</xdr:row>
      <xdr:rowOff>19050</xdr:rowOff>
    </xdr:from>
    <xdr:to>
      <xdr:col>3</xdr:col>
      <xdr:colOff>114300</xdr:colOff>
      <xdr:row>37</xdr:row>
      <xdr:rowOff>133350</xdr:rowOff>
    </xdr:to>
    <xdr:pic>
      <xdr:nvPicPr>
        <xdr:cNvPr id="2552" name="Picture 3" descr="OPTIMA Compact pre setti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38275" y="4991100"/>
          <a:ext cx="1428750"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723900</xdr:colOff>
      <xdr:row>0</xdr:row>
      <xdr:rowOff>76200</xdr:rowOff>
    </xdr:from>
    <xdr:to>
      <xdr:col>13</xdr:col>
      <xdr:colOff>1209675</xdr:colOff>
      <xdr:row>1</xdr:row>
      <xdr:rowOff>228600</xdr:rowOff>
    </xdr:to>
    <xdr:pic>
      <xdr:nvPicPr>
        <xdr:cNvPr id="2553" name="Picture 4" descr="FR_Sauter_Logo_RZ_RGB_50mm"/>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810875" y="76200"/>
          <a:ext cx="18002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971550</xdr:colOff>
      <xdr:row>28</xdr:row>
      <xdr:rowOff>47625</xdr:rowOff>
    </xdr:from>
    <xdr:to>
      <xdr:col>5</xdr:col>
      <xdr:colOff>600075</xdr:colOff>
      <xdr:row>39</xdr:row>
      <xdr:rowOff>9525</xdr:rowOff>
    </xdr:to>
    <xdr:pic>
      <xdr:nvPicPr>
        <xdr:cNvPr id="2554" name="Picture 37" descr="VFL+AXS"/>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724275" y="4857750"/>
          <a:ext cx="1685925"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476250</xdr:colOff>
      <xdr:row>22</xdr:row>
      <xdr:rowOff>38100</xdr:rowOff>
    </xdr:from>
    <xdr:to>
      <xdr:col>2</xdr:col>
      <xdr:colOff>504825</xdr:colOff>
      <xdr:row>32</xdr:row>
      <xdr:rowOff>0</xdr:rowOff>
    </xdr:to>
    <xdr:pic>
      <xdr:nvPicPr>
        <xdr:cNvPr id="15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3095625"/>
          <a:ext cx="1638300" cy="1590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285750</xdr:colOff>
      <xdr:row>23</xdr:row>
      <xdr:rowOff>95250</xdr:rowOff>
    </xdr:from>
    <xdr:to>
      <xdr:col>9</xdr:col>
      <xdr:colOff>266700</xdr:colOff>
      <xdr:row>34</xdr:row>
      <xdr:rowOff>85725</xdr:rowOff>
    </xdr:to>
    <xdr:pic>
      <xdr:nvPicPr>
        <xdr:cNvPr id="1526"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43450" y="3324225"/>
          <a:ext cx="2838450" cy="177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190500</xdr:colOff>
      <xdr:row>0</xdr:row>
      <xdr:rowOff>47625</xdr:rowOff>
    </xdr:from>
    <xdr:to>
      <xdr:col>12</xdr:col>
      <xdr:colOff>1276350</xdr:colOff>
      <xdr:row>1</xdr:row>
      <xdr:rowOff>200025</xdr:rowOff>
    </xdr:to>
    <xdr:pic>
      <xdr:nvPicPr>
        <xdr:cNvPr id="1527" name="Picture 4" descr="FR_Sauter_Logo_RZ_RGB_50mm"/>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20075" y="47625"/>
          <a:ext cx="18002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390525</xdr:colOff>
      <xdr:row>23</xdr:row>
      <xdr:rowOff>66675</xdr:rowOff>
    </xdr:from>
    <xdr:to>
      <xdr:col>4</xdr:col>
      <xdr:colOff>933450</xdr:colOff>
      <xdr:row>33</xdr:row>
      <xdr:rowOff>76200</xdr:rowOff>
    </xdr:to>
    <xdr:pic>
      <xdr:nvPicPr>
        <xdr:cNvPr id="1528" name="Picture 18" descr="AVM+Optima2"/>
        <xdr:cNvPicPr>
          <a:picLocks noGrp="1"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47975" y="3295650"/>
          <a:ext cx="1495425"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27</xdr:row>
      <xdr:rowOff>28575</xdr:rowOff>
    </xdr:from>
    <xdr:to>
      <xdr:col>3</xdr:col>
      <xdr:colOff>381000</xdr:colOff>
      <xdr:row>34</xdr:row>
      <xdr:rowOff>152400</xdr:rowOff>
    </xdr:to>
    <xdr:pic>
      <xdr:nvPicPr>
        <xdr:cNvPr id="5337" name="Billed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4533900"/>
          <a:ext cx="1343025"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571500</xdr:colOff>
      <xdr:row>26</xdr:row>
      <xdr:rowOff>76200</xdr:rowOff>
    </xdr:from>
    <xdr:to>
      <xdr:col>6</xdr:col>
      <xdr:colOff>400050</xdr:colOff>
      <xdr:row>36</xdr:row>
      <xdr:rowOff>47625</xdr:rowOff>
    </xdr:to>
    <xdr:pic>
      <xdr:nvPicPr>
        <xdr:cNvPr id="5338" name="Imag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76725" y="4419600"/>
          <a:ext cx="923925" cy="1590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180975</xdr:colOff>
      <xdr:row>0</xdr:row>
      <xdr:rowOff>57150</xdr:rowOff>
    </xdr:from>
    <xdr:to>
      <xdr:col>11</xdr:col>
      <xdr:colOff>1266825</xdr:colOff>
      <xdr:row>1</xdr:row>
      <xdr:rowOff>219075</xdr:rowOff>
    </xdr:to>
    <xdr:pic>
      <xdr:nvPicPr>
        <xdr:cNvPr id="5339" name="Picture 4" descr="FR_Sauter_Logo_RZ_RGB_50mm"/>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934325" y="57150"/>
          <a:ext cx="18002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142875</xdr:colOff>
      <xdr:row>18</xdr:row>
      <xdr:rowOff>19050</xdr:rowOff>
    </xdr:from>
    <xdr:to>
      <xdr:col>6</xdr:col>
      <xdr:colOff>485775</xdr:colOff>
      <xdr:row>30</xdr:row>
      <xdr:rowOff>152400</xdr:rowOff>
    </xdr:to>
    <xdr:pic>
      <xdr:nvPicPr>
        <xdr:cNvPr id="3564" name="Picture 5" descr="49-903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8875" y="3543300"/>
          <a:ext cx="2314575"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28575</xdr:colOff>
      <xdr:row>18</xdr:row>
      <xdr:rowOff>114300</xdr:rowOff>
    </xdr:from>
    <xdr:to>
      <xdr:col>12</xdr:col>
      <xdr:colOff>800100</xdr:colOff>
      <xdr:row>31</xdr:row>
      <xdr:rowOff>19050</xdr:rowOff>
    </xdr:to>
    <xdr:pic>
      <xdr:nvPicPr>
        <xdr:cNvPr id="3565"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43550" y="3638550"/>
          <a:ext cx="4095750"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628650</xdr:colOff>
      <xdr:row>18</xdr:row>
      <xdr:rowOff>152400</xdr:rowOff>
    </xdr:from>
    <xdr:to>
      <xdr:col>8</xdr:col>
      <xdr:colOff>200025</xdr:colOff>
      <xdr:row>25</xdr:row>
      <xdr:rowOff>19050</xdr:rowOff>
    </xdr:to>
    <xdr:pic>
      <xdr:nvPicPr>
        <xdr:cNvPr id="3566" name="Picture 7" descr="dn25L-5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rot="2400000">
          <a:off x="4886325" y="3676650"/>
          <a:ext cx="8286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600075</xdr:colOff>
      <xdr:row>0</xdr:row>
      <xdr:rowOff>142875</xdr:rowOff>
    </xdr:from>
    <xdr:to>
      <xdr:col>13</xdr:col>
      <xdr:colOff>447675</xdr:colOff>
      <xdr:row>2</xdr:row>
      <xdr:rowOff>28575</xdr:rowOff>
    </xdr:to>
    <xdr:pic>
      <xdr:nvPicPr>
        <xdr:cNvPr id="3567" name="Picture 4" descr="FR_Sauter_Logo_RZ_RGB_50m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467725" y="142875"/>
          <a:ext cx="17716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523875</xdr:colOff>
      <xdr:row>11</xdr:row>
      <xdr:rowOff>142875</xdr:rowOff>
    </xdr:from>
    <xdr:to>
      <xdr:col>14</xdr:col>
      <xdr:colOff>457200</xdr:colOff>
      <xdr:row>26</xdr:row>
      <xdr:rowOff>47625</xdr:rowOff>
    </xdr:to>
    <xdr:pic>
      <xdr:nvPicPr>
        <xdr:cNvPr id="4428" name="Picture 6" descr="Alpha Waf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24825" y="2286000"/>
          <a:ext cx="1905000" cy="2276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19050</xdr:colOff>
      <xdr:row>1</xdr:row>
      <xdr:rowOff>247650</xdr:rowOff>
    </xdr:from>
    <xdr:to>
      <xdr:col>23</xdr:col>
      <xdr:colOff>152400</xdr:colOff>
      <xdr:row>22</xdr:row>
      <xdr:rowOff>47625</xdr:rowOff>
    </xdr:to>
    <xdr:pic>
      <xdr:nvPicPr>
        <xdr:cNvPr id="4429"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82475" y="571500"/>
          <a:ext cx="3400425" cy="3343275"/>
        </a:xfrm>
        <a:prstGeom prst="rect">
          <a:avLst/>
        </a:prstGeom>
        <a:solidFill>
          <a:srgbClr val="C0C0C0"/>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14</xdr:col>
      <xdr:colOff>390525</xdr:colOff>
      <xdr:row>0</xdr:row>
      <xdr:rowOff>95250</xdr:rowOff>
    </xdr:from>
    <xdr:to>
      <xdr:col>17</xdr:col>
      <xdr:colOff>219075</xdr:colOff>
      <xdr:row>1</xdr:row>
      <xdr:rowOff>190500</xdr:rowOff>
    </xdr:to>
    <xdr:pic>
      <xdr:nvPicPr>
        <xdr:cNvPr id="4430" name="Picture 4" descr="FR_Sauter_Logo_RZ_RGB_50mm"/>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963150" y="95250"/>
          <a:ext cx="17716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showGridLines="0" tabSelected="1" topLeftCell="A2" zoomScaleNormal="100" workbookViewId="0">
      <selection activeCell="F8" sqref="F8"/>
    </sheetView>
  </sheetViews>
  <sheetFormatPr baseColWidth="10" defaultColWidth="8.85546875" defaultRowHeight="12.75" x14ac:dyDescent="0.2"/>
  <cols>
    <col min="1" max="1" width="10.7109375" style="4" customWidth="1"/>
    <col min="2" max="4" width="15.28515625" style="4" customWidth="1"/>
    <col min="5" max="5" width="15.5703125" style="4" customWidth="1"/>
    <col min="6" max="6" width="14.28515625" style="4" customWidth="1"/>
    <col min="7" max="7" width="15.7109375" style="4" customWidth="1"/>
    <col min="8" max="8" width="16.42578125" style="4" customWidth="1"/>
    <col min="9" max="9" width="15.7109375" style="4" customWidth="1"/>
    <col min="10" max="10" width="5.42578125" style="4" customWidth="1"/>
    <col min="11" max="11" width="5.5703125" style="4" bestFit="1" customWidth="1"/>
    <col min="12" max="12" width="6" style="4" bestFit="1" customWidth="1"/>
    <col min="13" max="13" width="19.7109375" style="4" bestFit="1" customWidth="1"/>
    <col min="14" max="14" width="20.42578125" style="4" bestFit="1" customWidth="1"/>
    <col min="15" max="17" width="8.85546875" style="4"/>
    <col min="18" max="19" width="20.28515625" style="4" bestFit="1" customWidth="1"/>
    <col min="20" max="16384" width="8.85546875" style="4"/>
  </cols>
  <sheetData>
    <row r="1" spans="1:15" ht="21" thickTop="1" x14ac:dyDescent="0.3">
      <c r="A1" s="564" t="s">
        <v>54</v>
      </c>
      <c r="B1" s="565"/>
      <c r="C1" s="565"/>
      <c r="D1" s="565"/>
      <c r="E1" s="565"/>
      <c r="F1" s="565"/>
      <c r="G1" s="565"/>
      <c r="H1" s="565"/>
      <c r="I1" s="565"/>
      <c r="J1" s="565"/>
      <c r="K1" s="565"/>
      <c r="L1" s="565"/>
      <c r="M1" s="565"/>
      <c r="N1" s="566"/>
      <c r="O1" s="3"/>
    </row>
    <row r="2" spans="1:15" ht="21" thickBot="1" x14ac:dyDescent="0.35">
      <c r="A2" s="567" t="s">
        <v>55</v>
      </c>
      <c r="B2" s="568"/>
      <c r="C2" s="568"/>
      <c r="D2" s="568"/>
      <c r="E2" s="568"/>
      <c r="F2" s="568"/>
      <c r="G2" s="568"/>
      <c r="H2" s="568"/>
      <c r="I2" s="568"/>
      <c r="J2" s="568"/>
      <c r="K2" s="568"/>
      <c r="L2" s="568"/>
      <c r="M2" s="568"/>
      <c r="N2" s="569"/>
      <c r="O2" s="3"/>
    </row>
    <row r="3" spans="1:15" ht="14.25" thickTop="1" thickBot="1" x14ac:dyDescent="0.25">
      <c r="A3" s="5"/>
      <c r="B3" s="6"/>
      <c r="C3" s="6"/>
      <c r="D3" s="6"/>
      <c r="E3" s="6"/>
      <c r="F3" s="6"/>
      <c r="G3" s="6"/>
      <c r="H3" s="7"/>
      <c r="I3" s="7"/>
      <c r="J3" s="7"/>
      <c r="K3" s="7"/>
      <c r="L3" s="7"/>
      <c r="M3" s="7"/>
      <c r="N3" s="8"/>
    </row>
    <row r="4" spans="1:15" ht="13.5" thickBot="1" x14ac:dyDescent="0.25">
      <c r="A4" s="472" t="s">
        <v>307</v>
      </c>
      <c r="B4" s="572"/>
      <c r="C4" s="573"/>
      <c r="D4" s="573"/>
      <c r="E4" s="574"/>
      <c r="F4" s="15"/>
      <c r="G4" s="15"/>
      <c r="H4" s="10"/>
      <c r="I4" s="10"/>
      <c r="J4" s="10"/>
      <c r="K4" s="10"/>
      <c r="L4" s="10"/>
      <c r="M4" s="10"/>
      <c r="N4" s="13"/>
    </row>
    <row r="5" spans="1:15" ht="13.5" thickBot="1" x14ac:dyDescent="0.25">
      <c r="A5" s="472" t="s">
        <v>308</v>
      </c>
      <c r="B5" s="572"/>
      <c r="C5" s="573"/>
      <c r="D5" s="573"/>
      <c r="E5" s="574"/>
      <c r="F5" s="15"/>
      <c r="G5" s="15"/>
      <c r="H5" s="10"/>
      <c r="I5" s="10"/>
      <c r="J5" s="10"/>
      <c r="K5" s="10"/>
      <c r="L5" s="10"/>
      <c r="M5" s="10"/>
      <c r="N5" s="13"/>
    </row>
    <row r="6" spans="1:15" ht="13.5" thickBot="1" x14ac:dyDescent="0.25">
      <c r="A6" s="9"/>
      <c r="B6" s="10"/>
      <c r="C6" s="10"/>
      <c r="D6" s="10"/>
      <c r="E6" s="10"/>
      <c r="F6" s="11" t="s">
        <v>44</v>
      </c>
      <c r="G6" s="10"/>
      <c r="H6" s="12"/>
      <c r="J6" s="10"/>
      <c r="K6" s="10"/>
      <c r="L6" s="10"/>
      <c r="M6" s="10"/>
      <c r="N6" s="13"/>
    </row>
    <row r="7" spans="1:15" ht="13.5" hidden="1" thickBot="1" x14ac:dyDescent="0.25">
      <c r="A7" s="14" t="s">
        <v>10</v>
      </c>
      <c r="B7" s="15"/>
      <c r="C7" s="15"/>
      <c r="D7" s="15"/>
      <c r="E7" s="15"/>
      <c r="F7" s="16">
        <v>20</v>
      </c>
      <c r="G7" s="17" t="s">
        <v>11</v>
      </c>
      <c r="J7" s="10"/>
      <c r="K7" s="10"/>
      <c r="L7" s="10"/>
      <c r="M7" s="10"/>
      <c r="N7" s="13"/>
    </row>
    <row r="8" spans="1:15" ht="13.5" thickBot="1" x14ac:dyDescent="0.25">
      <c r="A8" s="14"/>
      <c r="B8" s="15"/>
      <c r="C8" s="15"/>
      <c r="D8" s="15"/>
      <c r="E8" s="18" t="s">
        <v>249</v>
      </c>
      <c r="F8" s="147">
        <v>1200</v>
      </c>
      <c r="G8" s="17" t="s">
        <v>45</v>
      </c>
      <c r="H8" s="19"/>
      <c r="J8" s="10"/>
      <c r="K8" s="15"/>
      <c r="L8" s="10"/>
      <c r="M8" s="10"/>
      <c r="N8" s="13"/>
    </row>
    <row r="9" spans="1:15" x14ac:dyDescent="0.2">
      <c r="A9" s="9"/>
      <c r="B9" s="10"/>
      <c r="C9" s="10"/>
      <c r="D9" s="10"/>
      <c r="E9" s="10"/>
      <c r="F9" s="20"/>
      <c r="G9" s="10"/>
      <c r="J9" s="10"/>
      <c r="K9" s="15"/>
      <c r="L9" s="10"/>
      <c r="M9" s="10"/>
      <c r="N9" s="13"/>
    </row>
    <row r="10" spans="1:15" ht="13.5" thickBot="1" x14ac:dyDescent="0.25">
      <c r="A10" s="9"/>
      <c r="B10" s="10"/>
      <c r="C10" s="10"/>
      <c r="D10" s="10"/>
      <c r="E10" s="10"/>
      <c r="F10" s="10"/>
      <c r="G10" s="10"/>
      <c r="H10" s="10"/>
      <c r="I10" s="10"/>
      <c r="J10" s="10"/>
      <c r="K10" s="10"/>
      <c r="L10" s="10"/>
      <c r="M10" s="10"/>
      <c r="N10" s="13"/>
    </row>
    <row r="11" spans="1:15" ht="13.9" customHeight="1" thickTop="1" x14ac:dyDescent="0.2">
      <c r="A11" s="587" t="s">
        <v>46</v>
      </c>
      <c r="B11" s="570" t="s">
        <v>250</v>
      </c>
      <c r="C11" s="570" t="s">
        <v>254</v>
      </c>
      <c r="D11" s="570" t="s">
        <v>262</v>
      </c>
      <c r="E11" s="570" t="s">
        <v>261</v>
      </c>
      <c r="F11" s="589" t="s">
        <v>43</v>
      </c>
      <c r="G11" s="590"/>
      <c r="H11" s="585" t="s">
        <v>365</v>
      </c>
      <c r="I11" s="586"/>
      <c r="J11" s="10"/>
      <c r="K11" s="10"/>
      <c r="L11" s="10"/>
      <c r="M11" s="10"/>
      <c r="N11" s="13"/>
    </row>
    <row r="12" spans="1:15" ht="23.45" customHeight="1" thickBot="1" x14ac:dyDescent="0.25">
      <c r="A12" s="588"/>
      <c r="B12" s="571"/>
      <c r="C12" s="571"/>
      <c r="D12" s="571"/>
      <c r="E12" s="571"/>
      <c r="F12" s="48" t="s">
        <v>41</v>
      </c>
      <c r="G12" s="49" t="s">
        <v>42</v>
      </c>
      <c r="H12" s="50" t="s">
        <v>56</v>
      </c>
      <c r="I12" s="51" t="s">
        <v>13</v>
      </c>
      <c r="J12" s="10"/>
      <c r="K12" s="10"/>
      <c r="L12" s="10"/>
      <c r="M12" s="10"/>
      <c r="N12" s="13"/>
    </row>
    <row r="13" spans="1:15" x14ac:dyDescent="0.2">
      <c r="A13" s="52" t="s">
        <v>258</v>
      </c>
      <c r="B13" s="53" t="s">
        <v>251</v>
      </c>
      <c r="C13" s="54" t="s">
        <v>255</v>
      </c>
      <c r="D13" s="554" t="s">
        <v>306</v>
      </c>
      <c r="E13" s="554" t="s">
        <v>306</v>
      </c>
      <c r="F13" s="55" t="s">
        <v>49</v>
      </c>
      <c r="G13" s="477" t="s">
        <v>310</v>
      </c>
      <c r="H13" s="39" t="str">
        <f>IF(M48="UDEN FOR OMRÅDET","Néant",IF(N48="UDEN FOR OMRÅDET","Néant",(0.0206*F8-0.1176)))</f>
        <v>Néant</v>
      </c>
      <c r="I13" s="40" t="str">
        <f>IF(M48="UDEN FOR OMRÅDET","Néant",IF($F$8&lt;30,14.3,((((-0.000003*F8^2+0.0097*F8+13.982))))))</f>
        <v>Néant</v>
      </c>
      <c r="J13" s="10"/>
      <c r="K13" s="10"/>
      <c r="L13" s="10"/>
      <c r="M13" s="10"/>
      <c r="N13" s="13"/>
    </row>
    <row r="14" spans="1:15" x14ac:dyDescent="0.2">
      <c r="A14" s="56" t="s">
        <v>258</v>
      </c>
      <c r="B14" s="57" t="s">
        <v>252</v>
      </c>
      <c r="C14" s="58" t="s">
        <v>256</v>
      </c>
      <c r="D14" s="536" t="s">
        <v>306</v>
      </c>
      <c r="E14" s="536" t="s">
        <v>306</v>
      </c>
      <c r="F14" s="59" t="s">
        <v>50</v>
      </c>
      <c r="G14" s="449" t="s">
        <v>310</v>
      </c>
      <c r="H14" s="41" t="str">
        <f>IF(M49="UDEN FOR OMRÅDET","Néant",IF(N49="UDEN FOR OMRÅDET","Néant",(0.0111*F8-0.1246)))</f>
        <v>Néant</v>
      </c>
      <c r="I14" s="40" t="str">
        <f>IF(M49="UDEN FOR OMRÅDET","Néant",IF($F$8&lt;66,14.6,((((-0.000003*F8^2+0.0097*F8+13.982))))))</f>
        <v>Néant</v>
      </c>
      <c r="J14" s="10"/>
      <c r="K14" s="10"/>
      <c r="L14" s="10"/>
      <c r="M14" s="10"/>
      <c r="N14" s="13"/>
    </row>
    <row r="15" spans="1:15" x14ac:dyDescent="0.2">
      <c r="A15" s="60" t="s">
        <v>259</v>
      </c>
      <c r="B15" s="61" t="s">
        <v>253</v>
      </c>
      <c r="C15" s="62" t="s">
        <v>257</v>
      </c>
      <c r="D15" s="62" t="s">
        <v>263</v>
      </c>
      <c r="E15" s="62" t="s">
        <v>264</v>
      </c>
      <c r="F15" s="63" t="s">
        <v>49</v>
      </c>
      <c r="G15" s="478" t="s">
        <v>310</v>
      </c>
      <c r="H15" s="39" t="str">
        <f>IF(M50="UDEN FOR OMRÅDET","Néant",IF(N50="UDEN FOR OMRÅDET","Néant",(0.0206*F8-0.1176)))</f>
        <v>Néant</v>
      </c>
      <c r="I15" s="40" t="str">
        <f>IF(M50="UDEN FOR OMRÅDET","Néant",IF($F$8&lt;30,14.3,((((-0.000003*F8^2+0.0097*F8+13.982))))))</f>
        <v>Néant</v>
      </c>
      <c r="J15" s="10"/>
      <c r="K15" s="10"/>
      <c r="L15" s="10"/>
      <c r="M15" s="10"/>
      <c r="N15" s="13"/>
    </row>
    <row r="16" spans="1:15" x14ac:dyDescent="0.2">
      <c r="A16" s="56" t="s">
        <v>259</v>
      </c>
      <c r="B16" s="57" t="s">
        <v>251</v>
      </c>
      <c r="C16" s="58" t="s">
        <v>255</v>
      </c>
      <c r="D16" s="58" t="s">
        <v>265</v>
      </c>
      <c r="E16" s="58" t="s">
        <v>266</v>
      </c>
      <c r="F16" s="59" t="s">
        <v>50</v>
      </c>
      <c r="G16" s="449" t="s">
        <v>310</v>
      </c>
      <c r="H16" s="41" t="str">
        <f>IF(M51="UDEN FOR OMRÅDET","Néant",IF(N51="UDEN FOR OMRÅDET","Néant",(0.0111*F8-0.1246)))</f>
        <v>Néant</v>
      </c>
      <c r="I16" s="40" t="str">
        <f>IF(M51="UDEN FOR OMRÅDET","Néant",IF($F$8&lt;66,14.6,((((-0.000003*F8^2+0.0097*F8+13.982))))))</f>
        <v>Néant</v>
      </c>
      <c r="J16" s="10"/>
      <c r="K16" s="10"/>
      <c r="L16" s="10"/>
      <c r="M16" s="10"/>
      <c r="N16" s="13"/>
    </row>
    <row r="17" spans="1:14" x14ac:dyDescent="0.2">
      <c r="A17" s="60" t="s">
        <v>259</v>
      </c>
      <c r="B17" s="61" t="s">
        <v>252</v>
      </c>
      <c r="C17" s="62" t="s">
        <v>256</v>
      </c>
      <c r="D17" s="62" t="s">
        <v>267</v>
      </c>
      <c r="E17" s="62" t="s">
        <v>268</v>
      </c>
      <c r="F17" s="63" t="s">
        <v>51</v>
      </c>
      <c r="G17" s="478" t="s">
        <v>273</v>
      </c>
      <c r="H17" s="41" t="str">
        <f>IF(M52="UDEN FOR OMRÅDET","Néant",IF(N52="UDEN FOR OMRÅDET","Néant",(0.0072*F8-0.1158)))</f>
        <v>Néant</v>
      </c>
      <c r="I17" s="40" t="str">
        <f>IF(M52="UDEN FOR OMRÅDET","Néant",IF($F$8&lt;97,14.9,((((-0.000003*F8^2+0.0097*F8+13.982))))))</f>
        <v>Néant</v>
      </c>
      <c r="J17" s="10"/>
      <c r="K17" s="10"/>
      <c r="L17" s="10"/>
      <c r="M17" s="10"/>
      <c r="N17" s="13"/>
    </row>
    <row r="18" spans="1:14" x14ac:dyDescent="0.2">
      <c r="A18" s="553" t="s">
        <v>259</v>
      </c>
      <c r="B18" s="554" t="s">
        <v>306</v>
      </c>
      <c r="C18" s="554" t="s">
        <v>306</v>
      </c>
      <c r="D18" s="554" t="s">
        <v>306</v>
      </c>
      <c r="E18" s="554" t="s">
        <v>294</v>
      </c>
      <c r="F18" s="63" t="s">
        <v>53</v>
      </c>
      <c r="G18" s="478" t="s">
        <v>276</v>
      </c>
      <c r="H18" s="41">
        <f>IF(M53="UDEN FOR OMRÅDET","Néant",IF(N53="UDEN FOR OMRÅDET","Néant",(0.0031*F8-0.0739)))</f>
        <v>3.6460999999999997</v>
      </c>
      <c r="I18" s="40">
        <f>IF(M53="UDEN FOR OMRÅDET","Néant",IF($F$8&lt;219,16,((((-0.000003*F8^2+0.0097*F8+13.982))))))</f>
        <v>21.302</v>
      </c>
      <c r="J18" s="10"/>
      <c r="K18" s="10"/>
      <c r="L18" s="10"/>
      <c r="M18" s="10"/>
      <c r="N18" s="13"/>
    </row>
    <row r="19" spans="1:14" x14ac:dyDescent="0.2">
      <c r="A19" s="56" t="s">
        <v>260</v>
      </c>
      <c r="B19" s="57" t="s">
        <v>253</v>
      </c>
      <c r="C19" s="58" t="s">
        <v>257</v>
      </c>
      <c r="D19" s="58" t="s">
        <v>263</v>
      </c>
      <c r="E19" s="58" t="s">
        <v>264</v>
      </c>
      <c r="F19" s="59" t="s">
        <v>51</v>
      </c>
      <c r="G19" s="449" t="s">
        <v>273</v>
      </c>
      <c r="H19" s="41" t="str">
        <f>IF(M54="UDEN FOR OMRÅDET","Néant",IF(N54="UDEN FOR OMRÅDET","Néant",(0.0072*F8-0.1158)))</f>
        <v>Néant</v>
      </c>
      <c r="I19" s="40" t="str">
        <f>IF(M54="UDEN FOR OMRÅDET","Néant",IF($F$8&lt;97,14.9,((((-0.000003*F8^2+0.0097*F8+13.982))))))</f>
        <v>Néant</v>
      </c>
      <c r="J19" s="10"/>
      <c r="K19" s="10"/>
      <c r="L19" s="10"/>
      <c r="M19" s="10"/>
      <c r="N19" s="13"/>
    </row>
    <row r="20" spans="1:14" x14ac:dyDescent="0.2">
      <c r="A20" s="60" t="s">
        <v>260</v>
      </c>
      <c r="B20" s="61" t="s">
        <v>251</v>
      </c>
      <c r="C20" s="62" t="s">
        <v>255</v>
      </c>
      <c r="D20" s="62" t="s">
        <v>265</v>
      </c>
      <c r="E20" s="62" t="s">
        <v>266</v>
      </c>
      <c r="F20" s="63" t="s">
        <v>52</v>
      </c>
      <c r="G20" s="478" t="s">
        <v>273</v>
      </c>
      <c r="H20" s="41" t="str">
        <f>IF(M55="UDEN FOR OMRÅDET","Néant",IF(N55="UDEN FOR OMRÅDET","Néant",( 0.0041*F8-0.0554)))</f>
        <v>Néant</v>
      </c>
      <c r="I20" s="40" t="str">
        <f>IF(M55="UDEN FOR OMRÅDET","Néant",IF($F$8&lt;157,15.4,((((-0.000003*F8^2+0.0097*F8+13.982))))))</f>
        <v>Néant</v>
      </c>
      <c r="J20" s="10"/>
      <c r="K20" s="10"/>
      <c r="L20" s="10"/>
      <c r="M20" s="10"/>
      <c r="N20" s="13"/>
    </row>
    <row r="21" spans="1:14" x14ac:dyDescent="0.2">
      <c r="A21" s="64" t="s">
        <v>260</v>
      </c>
      <c r="B21" s="65" t="s">
        <v>252</v>
      </c>
      <c r="C21" s="66" t="s">
        <v>256</v>
      </c>
      <c r="D21" s="66" t="s">
        <v>267</v>
      </c>
      <c r="E21" s="66" t="s">
        <v>268</v>
      </c>
      <c r="F21" s="67" t="s">
        <v>53</v>
      </c>
      <c r="G21" s="459" t="s">
        <v>276</v>
      </c>
      <c r="H21" s="42">
        <f>IF(M56="UDEN FOR OMRÅDET","Néant",IF(N56="UDEN FOR OMRÅDET","Néant",( 0.0031*F8-0.0739)))</f>
        <v>3.6460999999999997</v>
      </c>
      <c r="I21" s="45">
        <f>IF(M56="UDEN FOR OMRÅDET","Néant",IF($F$8&lt;219,16,((((-0.000003*F8^2+0.0097*F8+13.982))))))</f>
        <v>21.302</v>
      </c>
      <c r="J21" s="10"/>
      <c r="K21" s="10"/>
      <c r="L21" s="10"/>
      <c r="M21" s="10"/>
      <c r="N21" s="13"/>
    </row>
    <row r="22" spans="1:14" x14ac:dyDescent="0.2">
      <c r="A22" s="457" t="s">
        <v>260</v>
      </c>
      <c r="B22" s="537" t="s">
        <v>291</v>
      </c>
      <c r="C22" s="533" t="s">
        <v>292</v>
      </c>
      <c r="D22" s="533" t="s">
        <v>293</v>
      </c>
      <c r="E22" s="533" t="s">
        <v>294</v>
      </c>
      <c r="F22" s="459" t="s">
        <v>323</v>
      </c>
      <c r="G22" s="459" t="s">
        <v>324</v>
      </c>
      <c r="H22" s="42">
        <f>IF(M57="UDEN FOR OMRÅDET","Néant",IF(N57="UDEN FOR OMRÅDET","Néant",(ROUND(0.000000000000738*F8^4-0.000000003305773*F8^3+0.000004764953804*F8^2-0.000101647006109*F8+0.281655010967834,1))))</f>
        <v>2.8</v>
      </c>
      <c r="I22" s="43">
        <f>IF(M57="UDEN FOR OMRÅDET","Néant",IF($F$8&lt;219,16,((((-1.338352*H22^4+13.061298*H22^3-41.975654*H22^2+55.306489*H22-2.920448))))))</f>
        <v>27.307598844800019</v>
      </c>
      <c r="J22" s="10"/>
      <c r="K22" s="10"/>
      <c r="L22" s="10"/>
      <c r="M22" s="10"/>
      <c r="N22" s="13"/>
    </row>
    <row r="23" spans="1:14" x14ac:dyDescent="0.2">
      <c r="A23" s="462" t="s">
        <v>245</v>
      </c>
      <c r="B23" s="467" t="s">
        <v>325</v>
      </c>
      <c r="C23" s="467" t="s">
        <v>326</v>
      </c>
      <c r="D23" s="467" t="s">
        <v>327</v>
      </c>
      <c r="E23" s="467" t="s">
        <v>328</v>
      </c>
      <c r="F23" s="451" t="s">
        <v>323</v>
      </c>
      <c r="G23" s="451" t="s">
        <v>311</v>
      </c>
      <c r="H23" s="44">
        <f>IF(M58="UDEN FOR OMRÅDET","Néant",IF(N58="UDEN FOR OMRÅDET","Néant",(ROUND(1.4E-19*F8^6-1.19861E-15*F8^5+4.13643328E-12*F8^4-7.13978266724E-09*F8^3+5.84387840760556E-06*F8^2+0.000579276541885037*F8+0.11330832994119,1))))</f>
        <v>2.9</v>
      </c>
      <c r="I23" s="45">
        <f>IF(M58="UDEN FOR OMRÅDET","Néant",IF($F$8&lt;219,16,((((-0.0488*H23^4+1.2823*H23^3-4.3242*H23^2+6.5949*H23+12.629))))))</f>
        <v>23.210171419999995</v>
      </c>
      <c r="J23" s="10"/>
      <c r="K23" s="10"/>
      <c r="L23" s="10"/>
      <c r="M23" s="10"/>
      <c r="N23" s="13"/>
    </row>
    <row r="24" spans="1:14" x14ac:dyDescent="0.2">
      <c r="A24" s="464" t="s">
        <v>245</v>
      </c>
      <c r="B24" s="467" t="s">
        <v>291</v>
      </c>
      <c r="C24" s="467" t="s">
        <v>292</v>
      </c>
      <c r="D24" s="467" t="s">
        <v>293</v>
      </c>
      <c r="E24" s="467" t="s">
        <v>294</v>
      </c>
      <c r="F24" s="465" t="s">
        <v>295</v>
      </c>
      <c r="G24" s="466" t="s">
        <v>312</v>
      </c>
      <c r="H24" s="44">
        <f>IF(M59="UDEN FOR OMRÅDET","Néant",IF(N59="UDEN FOR OMRÅDET","Néant",( 0.00113*F8-0.077966)))</f>
        <v>1.2780339999999999</v>
      </c>
      <c r="I24" s="45">
        <f>IF(M59="UDEN FOR OMRÅDET","Néant",IF($F$8&lt;600,17.3,((((0.1565*H24^3-0.4391*H24^2+0.7641*H24+16.949))))))</f>
        <v>17.535026920740123</v>
      </c>
      <c r="J24" s="10"/>
      <c r="K24" s="10"/>
      <c r="L24" s="10"/>
      <c r="M24" s="10"/>
      <c r="N24" s="13"/>
    </row>
    <row r="25" spans="1:14" x14ac:dyDescent="0.2">
      <c r="A25" s="457" t="s">
        <v>246</v>
      </c>
      <c r="B25" s="57" t="s">
        <v>291</v>
      </c>
      <c r="C25" s="57" t="s">
        <v>292</v>
      </c>
      <c r="D25" s="57" t="s">
        <v>293</v>
      </c>
      <c r="E25" s="57" t="s">
        <v>294</v>
      </c>
      <c r="F25" s="67" t="s">
        <v>296</v>
      </c>
      <c r="G25" s="459" t="s">
        <v>312</v>
      </c>
      <c r="H25" s="455">
        <f>IF(M60="UDEN FOR OMRÅDET","Néant",IF(N60="UDEN FOR OMRÅDET","Néant",( 0.000985*F8+0.058128)))</f>
        <v>1.2401279999999999</v>
      </c>
      <c r="I25" s="456">
        <f>IF(M60="UDEN FOR OMRÅDET","Néant",IF($F$8&lt;550,17.9,((((0.319164*H25^3-1.007683*H25^2+1.622683*H25+17.20149))))))</f>
        <v>18.272805555693328</v>
      </c>
      <c r="J25" s="10"/>
      <c r="K25" s="10"/>
      <c r="L25" s="10"/>
      <c r="M25" s="10"/>
      <c r="N25" s="13"/>
    </row>
    <row r="26" spans="1:14" x14ac:dyDescent="0.2">
      <c r="A26" s="464" t="s">
        <v>247</v>
      </c>
      <c r="B26" s="467" t="s">
        <v>306</v>
      </c>
      <c r="C26" s="467" t="s">
        <v>306</v>
      </c>
      <c r="D26" s="467" t="s">
        <v>306</v>
      </c>
      <c r="E26" s="463" t="s">
        <v>294</v>
      </c>
      <c r="F26" s="465" t="s">
        <v>304</v>
      </c>
      <c r="G26" s="466" t="s">
        <v>313</v>
      </c>
      <c r="H26" s="455" t="str">
        <f>IF(M61="UDEN FOR OMRÅDET","Néant",IF(N61="UDEN FOR OMRÅDET","Néant",( 0.00000000000288*F8^3-0.0000000664956*F8^2+0.00083885974318*F8-0.43240908305444)))</f>
        <v>Néant</v>
      </c>
      <c r="I26" s="456" t="str">
        <f>IF(M61="UDEN FOR OMRÅDET","Néant",IF($F$8&lt;1370,10,((((-0.00000000000001*F8^4+0.00000000017355*F8^3-0.00000068604015*F8^2+0.00101346313061*F8+9.48796472736388))))))</f>
        <v>Néant</v>
      </c>
      <c r="J26" s="10"/>
      <c r="K26" s="10"/>
      <c r="L26" s="10"/>
      <c r="M26" s="10"/>
      <c r="N26" s="13"/>
    </row>
    <row r="27" spans="1:14" ht="13.5" thickBot="1" x14ac:dyDescent="0.25">
      <c r="A27" s="458" t="s">
        <v>248</v>
      </c>
      <c r="B27" s="468" t="s">
        <v>306</v>
      </c>
      <c r="C27" s="468" t="s">
        <v>306</v>
      </c>
      <c r="D27" s="468" t="s">
        <v>306</v>
      </c>
      <c r="E27" s="68" t="s">
        <v>294</v>
      </c>
      <c r="F27" s="69" t="s">
        <v>305</v>
      </c>
      <c r="G27" s="460" t="s">
        <v>313</v>
      </c>
      <c r="H27" s="46" t="str">
        <f>IF(M62="UDEN FOR OMRÅDET","Néant",IF(N62="UDEN FOR OMRÅDET","Néant",(0.0000000000026361*F8^3-0.0000000676435205*F8^2+0.0008135531716385*F8-0.4034323654908)))</f>
        <v>Néant</v>
      </c>
      <c r="I27" s="47" t="str">
        <f>IF(M62="UDEN FOR OMRÅDET","Néant",IF($F$8&lt;1370,10,((((-0.0000000000124303*F8^3+0.000000413233432*F8^2-0.0009155917685558*F8+10.7948844712801))))))</f>
        <v>Néant</v>
      </c>
      <c r="J27" s="10"/>
      <c r="K27" s="10"/>
      <c r="L27" s="10"/>
      <c r="M27" s="10"/>
      <c r="N27" s="13"/>
    </row>
    <row r="28" spans="1:14" ht="13.5" thickTop="1" x14ac:dyDescent="0.2">
      <c r="A28" s="452"/>
      <c r="B28" s="453"/>
      <c r="C28" s="453"/>
      <c r="D28" s="453"/>
      <c r="E28" s="453"/>
      <c r="F28" s="356"/>
      <c r="G28" s="454"/>
      <c r="H28" s="461"/>
      <c r="I28" s="461"/>
      <c r="J28" s="10"/>
      <c r="K28" s="10"/>
      <c r="L28" s="10"/>
      <c r="M28" s="10"/>
      <c r="N28" s="13"/>
    </row>
    <row r="29" spans="1:14" x14ac:dyDescent="0.2">
      <c r="A29" s="9"/>
      <c r="B29" s="10"/>
      <c r="C29" s="10"/>
      <c r="D29" s="10"/>
      <c r="E29" s="10"/>
      <c r="F29" s="10"/>
      <c r="G29" s="10"/>
      <c r="H29" s="10"/>
      <c r="I29" s="10"/>
      <c r="J29" s="10"/>
      <c r="K29" s="10"/>
      <c r="L29" s="10"/>
      <c r="M29" s="10"/>
      <c r="N29" s="13"/>
    </row>
    <row r="30" spans="1:14" x14ac:dyDescent="0.2">
      <c r="A30" s="9"/>
      <c r="B30" s="10"/>
      <c r="C30" s="10"/>
      <c r="D30" s="10"/>
      <c r="E30" s="10"/>
      <c r="F30" s="10"/>
      <c r="G30" s="10"/>
      <c r="H30" s="10"/>
      <c r="I30" s="12"/>
      <c r="J30" s="10"/>
      <c r="K30" s="10"/>
      <c r="L30" s="10"/>
      <c r="M30" s="10"/>
      <c r="N30" s="13"/>
    </row>
    <row r="31" spans="1:14" x14ac:dyDescent="0.2">
      <c r="A31" s="9"/>
      <c r="B31" s="10"/>
      <c r="C31" s="10"/>
      <c r="D31" s="10"/>
      <c r="E31" s="10"/>
      <c r="F31" s="10"/>
      <c r="G31" s="10"/>
      <c r="H31" s="10"/>
      <c r="J31" s="10"/>
      <c r="K31" s="10"/>
      <c r="L31" s="10"/>
      <c r="M31" s="10"/>
      <c r="N31" s="13"/>
    </row>
    <row r="32" spans="1:14" x14ac:dyDescent="0.2">
      <c r="A32" s="9"/>
      <c r="B32" s="10"/>
      <c r="C32" s="10"/>
      <c r="D32" s="10"/>
      <c r="E32" s="10"/>
      <c r="F32" s="10"/>
      <c r="G32" s="10"/>
      <c r="H32" s="10"/>
      <c r="J32" s="10"/>
      <c r="K32" s="10"/>
      <c r="L32" s="10"/>
      <c r="M32" s="10"/>
      <c r="N32" s="13"/>
    </row>
    <row r="33" spans="1:19" x14ac:dyDescent="0.2">
      <c r="A33" s="9"/>
      <c r="B33" s="10"/>
      <c r="C33" s="10"/>
      <c r="D33" s="10"/>
      <c r="E33" s="10"/>
      <c r="F33" s="10"/>
      <c r="G33" s="10"/>
      <c r="H33" s="10"/>
      <c r="J33" s="10"/>
      <c r="K33" s="10"/>
      <c r="L33" s="10"/>
      <c r="M33" s="10"/>
      <c r="N33" s="13"/>
    </row>
    <row r="34" spans="1:19" x14ac:dyDescent="0.2">
      <c r="A34" s="9"/>
      <c r="B34" s="10"/>
      <c r="C34" s="10"/>
      <c r="D34" s="10"/>
      <c r="E34" s="10"/>
      <c r="F34" s="10"/>
      <c r="G34" s="10"/>
      <c r="H34" s="10"/>
      <c r="J34" s="10"/>
      <c r="K34" s="10"/>
      <c r="L34" s="10"/>
      <c r="M34" s="10"/>
      <c r="N34" s="13"/>
    </row>
    <row r="35" spans="1:19" x14ac:dyDescent="0.2">
      <c r="A35" s="9"/>
      <c r="B35" s="10"/>
      <c r="C35" s="10"/>
      <c r="D35" s="10"/>
      <c r="E35" s="10"/>
      <c r="F35" s="10"/>
      <c r="G35" s="10"/>
      <c r="H35" s="10"/>
      <c r="J35" s="10"/>
      <c r="K35" s="10"/>
      <c r="L35" s="10"/>
      <c r="M35" s="10"/>
      <c r="N35" s="13"/>
    </row>
    <row r="36" spans="1:19" x14ac:dyDescent="0.2">
      <c r="A36" s="9"/>
      <c r="B36" s="10"/>
      <c r="C36" s="10"/>
      <c r="D36" s="10"/>
      <c r="E36" s="10"/>
      <c r="F36" s="10"/>
      <c r="G36" s="10"/>
      <c r="H36" s="10"/>
      <c r="J36" s="10"/>
      <c r="K36" s="10"/>
      <c r="L36" s="10"/>
      <c r="M36" s="10"/>
      <c r="N36" s="13"/>
    </row>
    <row r="37" spans="1:19" x14ac:dyDescent="0.2">
      <c r="A37" s="9"/>
      <c r="B37" s="10"/>
      <c r="C37" s="10"/>
      <c r="D37" s="10"/>
      <c r="E37" s="10"/>
      <c r="F37" s="10"/>
      <c r="G37" s="10"/>
      <c r="H37" s="10"/>
      <c r="J37" s="10"/>
      <c r="K37" s="10"/>
      <c r="L37" s="10"/>
      <c r="M37" s="10"/>
      <c r="N37" s="13"/>
    </row>
    <row r="38" spans="1:19" x14ac:dyDescent="0.2">
      <c r="A38" s="9"/>
      <c r="B38" s="10"/>
      <c r="C38" s="10"/>
      <c r="D38" s="10"/>
      <c r="E38" s="10"/>
      <c r="F38" s="10"/>
      <c r="G38" s="10"/>
      <c r="H38" s="10"/>
      <c r="J38" s="10"/>
      <c r="K38" s="10"/>
      <c r="L38" s="10"/>
      <c r="M38" s="10"/>
      <c r="N38" s="13"/>
    </row>
    <row r="39" spans="1:19" x14ac:dyDescent="0.2">
      <c r="A39" s="9"/>
      <c r="B39" s="10"/>
      <c r="C39" s="10"/>
      <c r="D39" s="10"/>
      <c r="E39" s="10"/>
      <c r="F39" s="10"/>
      <c r="G39" s="10"/>
      <c r="H39" s="10"/>
      <c r="J39" s="10"/>
      <c r="K39" s="10"/>
      <c r="L39" s="10"/>
      <c r="M39" s="10"/>
      <c r="N39" s="13"/>
    </row>
    <row r="40" spans="1:19" x14ac:dyDescent="0.2">
      <c r="A40" s="9"/>
      <c r="B40" s="10"/>
      <c r="C40" s="10"/>
      <c r="D40" s="10"/>
      <c r="E40" s="10"/>
      <c r="F40" s="10"/>
      <c r="G40" s="10"/>
      <c r="H40" s="10"/>
      <c r="J40" s="10"/>
      <c r="K40" s="10"/>
      <c r="L40" s="10"/>
      <c r="M40" s="10"/>
      <c r="N40" s="13"/>
    </row>
    <row r="41" spans="1:19" x14ac:dyDescent="0.2">
      <c r="A41" s="9"/>
      <c r="B41" s="10"/>
      <c r="C41" s="10"/>
      <c r="D41" s="10"/>
      <c r="E41" s="10"/>
      <c r="F41" s="10"/>
      <c r="G41" s="10"/>
      <c r="H41" s="10"/>
      <c r="I41" s="21"/>
      <c r="J41" s="10"/>
      <c r="K41" s="10"/>
      <c r="L41" s="10"/>
      <c r="M41" s="10"/>
      <c r="N41" s="13"/>
    </row>
    <row r="42" spans="1:19" ht="13.5" thickBot="1" x14ac:dyDescent="0.25">
      <c r="A42" s="22" t="s">
        <v>58</v>
      </c>
      <c r="B42" s="23"/>
      <c r="C42" s="23"/>
      <c r="D42" s="23"/>
      <c r="E42" s="23"/>
      <c r="F42" s="23"/>
      <c r="G42" s="23"/>
      <c r="H42" s="24"/>
      <c r="I42" s="23"/>
      <c r="J42" s="23"/>
      <c r="K42" s="23"/>
      <c r="L42" s="23"/>
      <c r="M42" s="23"/>
      <c r="N42" s="25"/>
    </row>
    <row r="43" spans="1:19" ht="13.5" thickTop="1" x14ac:dyDescent="0.2">
      <c r="H43" s="26"/>
    </row>
    <row r="44" spans="1:19" hidden="1" x14ac:dyDescent="0.2">
      <c r="H44" s="26"/>
    </row>
    <row r="45" spans="1:19" s="29" customFormat="1" ht="26.25" hidden="1" x14ac:dyDescent="0.4">
      <c r="A45" s="583" t="s">
        <v>9</v>
      </c>
      <c r="B45" s="583"/>
      <c r="C45" s="583"/>
      <c r="D45" s="583"/>
      <c r="E45" s="583"/>
      <c r="F45" s="583"/>
      <c r="G45" s="583"/>
      <c r="H45" s="584"/>
      <c r="I45" s="584"/>
      <c r="J45" s="584"/>
      <c r="K45" s="584"/>
      <c r="L45" s="584"/>
      <c r="M45" s="584"/>
      <c r="N45" s="584"/>
      <c r="O45" s="27"/>
      <c r="P45" s="28"/>
      <c r="Q45" s="28"/>
      <c r="R45" s="28"/>
      <c r="S45" s="28"/>
    </row>
    <row r="46" spans="1:19" ht="13.5" hidden="1" thickBot="1" x14ac:dyDescent="0.25"/>
    <row r="47" spans="1:19" ht="14.25" hidden="1" thickTop="1" thickBot="1" x14ac:dyDescent="0.25">
      <c r="A47" s="30" t="s">
        <v>0</v>
      </c>
      <c r="B47" s="31"/>
      <c r="C47" s="31"/>
      <c r="D47" s="31"/>
      <c r="E47" s="31"/>
      <c r="F47" s="31"/>
      <c r="G47" s="31"/>
      <c r="H47" s="32" t="s">
        <v>1</v>
      </c>
      <c r="I47" s="32" t="s">
        <v>3</v>
      </c>
      <c r="J47" s="32" t="s">
        <v>8</v>
      </c>
      <c r="K47" s="32" t="s">
        <v>4</v>
      </c>
      <c r="L47" s="32" t="s">
        <v>5</v>
      </c>
      <c r="M47" s="33" t="s">
        <v>6</v>
      </c>
      <c r="N47" s="34" t="s">
        <v>7</v>
      </c>
    </row>
    <row r="48" spans="1:19" ht="13.5" hidden="1" thickBot="1" x14ac:dyDescent="0.25">
      <c r="A48" s="35" t="s">
        <v>33</v>
      </c>
      <c r="B48" s="36"/>
      <c r="C48" s="52" t="s">
        <v>258</v>
      </c>
      <c r="D48" s="532" t="s">
        <v>329</v>
      </c>
      <c r="E48" s="482"/>
      <c r="F48" s="483"/>
      <c r="G48" s="483"/>
      <c r="H48" s="484"/>
      <c r="I48" s="485"/>
      <c r="J48" s="543">
        <v>0.5</v>
      </c>
      <c r="K48" s="542">
        <v>30</v>
      </c>
      <c r="L48" s="538">
        <v>200</v>
      </c>
      <c r="M48" s="539" t="str">
        <f>IF($F$8&lt;=K48-1,"UDEN FOR OMRÅDET",IF($F$8&gt;=L48+1,"UDEN FOR OMRÅDET",$F$8))</f>
        <v>UDEN FOR OMRÅDET</v>
      </c>
      <c r="N48" s="540">
        <v>20</v>
      </c>
    </row>
    <row r="49" spans="1:14" ht="13.5" hidden="1" thickBot="1" x14ac:dyDescent="0.25">
      <c r="A49" s="480" t="s">
        <v>34</v>
      </c>
      <c r="B49" s="481"/>
      <c r="C49" s="56" t="s">
        <v>258</v>
      </c>
      <c r="D49" s="536" t="s">
        <v>330</v>
      </c>
      <c r="E49" s="481"/>
      <c r="F49" s="37"/>
      <c r="G49" s="37"/>
      <c r="H49" s="1"/>
      <c r="I49" s="2"/>
      <c r="J49" s="543">
        <v>0.9</v>
      </c>
      <c r="K49" s="542">
        <v>65</v>
      </c>
      <c r="L49" s="538">
        <v>370</v>
      </c>
      <c r="M49" s="539" t="str">
        <f t="shared" ref="M49:M62" si="0">IF($F$8&lt;=K49-1,"UDEN FOR OMRÅDET",IF($F$8&gt;=L49+1,"UDEN FOR OMRÅDET",$F$8))</f>
        <v>UDEN FOR OMRÅDET</v>
      </c>
      <c r="N49" s="540">
        <v>20</v>
      </c>
    </row>
    <row r="50" spans="1:14" ht="13.5" hidden="1" thickBot="1" x14ac:dyDescent="0.25">
      <c r="A50" s="486" t="s">
        <v>35</v>
      </c>
      <c r="B50" s="487"/>
      <c r="C50" s="488" t="s">
        <v>259</v>
      </c>
      <c r="D50" s="534" t="s">
        <v>331</v>
      </c>
      <c r="E50" s="487"/>
      <c r="F50" s="489"/>
      <c r="G50" s="489"/>
      <c r="H50" s="490"/>
      <c r="I50" s="491"/>
      <c r="J50" s="543">
        <v>0.5</v>
      </c>
      <c r="K50" s="542">
        <v>30</v>
      </c>
      <c r="L50" s="538">
        <v>200</v>
      </c>
      <c r="M50" s="539" t="str">
        <f t="shared" si="0"/>
        <v>UDEN FOR OMRÅDET</v>
      </c>
      <c r="N50" s="540">
        <v>20</v>
      </c>
    </row>
    <row r="51" spans="1:14" ht="13.5" hidden="1" thickBot="1" x14ac:dyDescent="0.25">
      <c r="A51" s="480" t="s">
        <v>36</v>
      </c>
      <c r="B51" s="481"/>
      <c r="C51" s="56" t="s">
        <v>259</v>
      </c>
      <c r="D51" s="536" t="s">
        <v>329</v>
      </c>
      <c r="E51" s="481"/>
      <c r="F51" s="37"/>
      <c r="G51" s="37"/>
      <c r="H51" s="1"/>
      <c r="I51" s="2"/>
      <c r="J51" s="543">
        <v>0.9</v>
      </c>
      <c r="K51" s="542">
        <v>65</v>
      </c>
      <c r="L51" s="538">
        <v>370</v>
      </c>
      <c r="M51" s="539" t="str">
        <f t="shared" si="0"/>
        <v>UDEN FOR OMRÅDET</v>
      </c>
      <c r="N51" s="540">
        <v>20</v>
      </c>
    </row>
    <row r="52" spans="1:14" ht="13.5" hidden="1" thickBot="1" x14ac:dyDescent="0.25">
      <c r="A52" s="486" t="s">
        <v>37</v>
      </c>
      <c r="B52" s="487"/>
      <c r="C52" s="488" t="s">
        <v>259</v>
      </c>
      <c r="D52" s="534" t="s">
        <v>330</v>
      </c>
      <c r="E52" s="487"/>
      <c r="F52" s="489"/>
      <c r="G52" s="489"/>
      <c r="H52" s="490"/>
      <c r="I52" s="491"/>
      <c r="J52" s="543">
        <v>1.3</v>
      </c>
      <c r="K52" s="542">
        <v>100</v>
      </c>
      <c r="L52" s="538">
        <v>575</v>
      </c>
      <c r="M52" s="539" t="str">
        <f t="shared" si="0"/>
        <v>UDEN FOR OMRÅDET</v>
      </c>
      <c r="N52" s="540">
        <v>20</v>
      </c>
    </row>
    <row r="53" spans="1:14" ht="13.5" hidden="1" thickBot="1" x14ac:dyDescent="0.25">
      <c r="A53" s="551" t="s">
        <v>334</v>
      </c>
      <c r="B53" s="487"/>
      <c r="C53" s="552" t="s">
        <v>259</v>
      </c>
      <c r="D53" s="534" t="s">
        <v>332</v>
      </c>
      <c r="E53" s="487"/>
      <c r="F53" s="489"/>
      <c r="G53" s="489"/>
      <c r="H53" s="490"/>
      <c r="I53" s="491"/>
      <c r="J53" s="543">
        <v>2.7</v>
      </c>
      <c r="K53" s="542">
        <v>220</v>
      </c>
      <c r="L53" s="538">
        <v>1330</v>
      </c>
      <c r="M53" s="539">
        <f t="shared" si="0"/>
        <v>1200</v>
      </c>
      <c r="N53" s="540">
        <v>20</v>
      </c>
    </row>
    <row r="54" spans="1:14" ht="13.5" hidden="1" thickBot="1" x14ac:dyDescent="0.25">
      <c r="A54" s="480" t="s">
        <v>38</v>
      </c>
      <c r="B54" s="481"/>
      <c r="C54" s="492" t="s">
        <v>260</v>
      </c>
      <c r="D54" s="536" t="s">
        <v>331</v>
      </c>
      <c r="E54" s="481"/>
      <c r="F54" s="493"/>
      <c r="G54" s="493"/>
      <c r="H54" s="494"/>
      <c r="I54" s="495"/>
      <c r="J54" s="543">
        <v>1.3</v>
      </c>
      <c r="K54" s="542">
        <v>100</v>
      </c>
      <c r="L54" s="538">
        <v>575</v>
      </c>
      <c r="M54" s="539" t="str">
        <f t="shared" si="0"/>
        <v>UDEN FOR OMRÅDET</v>
      </c>
      <c r="N54" s="540">
        <v>20</v>
      </c>
    </row>
    <row r="55" spans="1:14" ht="13.5" hidden="1" thickBot="1" x14ac:dyDescent="0.25">
      <c r="A55" s="496" t="s">
        <v>39</v>
      </c>
      <c r="B55" s="497"/>
      <c r="C55" s="498" t="s">
        <v>260</v>
      </c>
      <c r="D55" s="531" t="s">
        <v>329</v>
      </c>
      <c r="E55" s="497"/>
      <c r="F55" s="499"/>
      <c r="G55" s="499"/>
      <c r="H55" s="500"/>
      <c r="I55" s="501"/>
      <c r="J55" s="543">
        <v>2.1</v>
      </c>
      <c r="K55" s="542">
        <v>160</v>
      </c>
      <c r="L55" s="538">
        <v>990</v>
      </c>
      <c r="M55" s="539" t="str">
        <f t="shared" si="0"/>
        <v>UDEN FOR OMRÅDET</v>
      </c>
      <c r="N55" s="540">
        <v>20</v>
      </c>
    </row>
    <row r="56" spans="1:14" ht="13.5" hidden="1" thickBot="1" x14ac:dyDescent="0.25">
      <c r="A56" s="480" t="s">
        <v>40</v>
      </c>
      <c r="B56" s="481"/>
      <c r="C56" s="503" t="s">
        <v>260</v>
      </c>
      <c r="D56" s="533" t="s">
        <v>330</v>
      </c>
      <c r="E56" s="481"/>
      <c r="F56" s="37"/>
      <c r="G56" s="37"/>
      <c r="H56" s="1"/>
      <c r="I56" s="38"/>
      <c r="J56" s="544">
        <v>2.7</v>
      </c>
      <c r="K56" s="539">
        <v>220</v>
      </c>
      <c r="L56" s="539">
        <v>1330</v>
      </c>
      <c r="M56" s="539">
        <f t="shared" si="0"/>
        <v>1200</v>
      </c>
      <c r="N56" s="540">
        <v>20</v>
      </c>
    </row>
    <row r="57" spans="1:14" hidden="1" x14ac:dyDescent="0.2">
      <c r="A57" s="526" t="s">
        <v>322</v>
      </c>
      <c r="B57" s="497"/>
      <c r="C57" s="527" t="s">
        <v>260</v>
      </c>
      <c r="D57" s="528" t="s">
        <v>332</v>
      </c>
      <c r="E57" s="497"/>
      <c r="F57" s="499"/>
      <c r="G57" s="499"/>
      <c r="H57" s="500"/>
      <c r="I57" s="502"/>
      <c r="J57" s="544">
        <v>2.9</v>
      </c>
      <c r="K57" s="539">
        <v>300</v>
      </c>
      <c r="L57" s="539">
        <v>1800</v>
      </c>
      <c r="M57" s="539">
        <f t="shared" si="0"/>
        <v>1200</v>
      </c>
      <c r="N57" s="540">
        <v>20</v>
      </c>
    </row>
    <row r="58" spans="1:14" hidden="1" x14ac:dyDescent="0.2">
      <c r="A58" s="577" t="s">
        <v>297</v>
      </c>
      <c r="B58" s="578"/>
      <c r="C58" s="521" t="s">
        <v>245</v>
      </c>
      <c r="D58" s="535" t="s">
        <v>333</v>
      </c>
      <c r="E58" s="520"/>
      <c r="F58" s="522"/>
      <c r="G58" s="522"/>
      <c r="H58" s="523"/>
      <c r="I58" s="524"/>
      <c r="J58" s="544">
        <v>2.9</v>
      </c>
      <c r="K58" s="539">
        <v>280</v>
      </c>
      <c r="L58" s="539">
        <v>1800</v>
      </c>
      <c r="M58" s="539">
        <f t="shared" si="0"/>
        <v>1200</v>
      </c>
      <c r="N58" s="540">
        <v>20</v>
      </c>
    </row>
    <row r="59" spans="1:14" hidden="1" x14ac:dyDescent="0.2">
      <c r="A59" s="504" t="s">
        <v>321</v>
      </c>
      <c r="B59" s="481"/>
      <c r="C59" s="525" t="s">
        <v>245</v>
      </c>
      <c r="D59" s="530" t="s">
        <v>332</v>
      </c>
      <c r="E59" s="481"/>
      <c r="F59" s="37"/>
      <c r="G59" s="37"/>
      <c r="H59" s="1"/>
      <c r="I59" s="38"/>
      <c r="J59" s="545">
        <v>7.5</v>
      </c>
      <c r="K59" s="546">
        <v>600</v>
      </c>
      <c r="L59" s="547">
        <v>3609</v>
      </c>
      <c r="M59" s="539">
        <f t="shared" si="0"/>
        <v>1200</v>
      </c>
      <c r="N59" s="540">
        <v>20</v>
      </c>
    </row>
    <row r="60" spans="1:14" hidden="1" x14ac:dyDescent="0.2">
      <c r="A60" s="575" t="s">
        <v>301</v>
      </c>
      <c r="B60" s="576"/>
      <c r="C60" s="506" t="s">
        <v>246</v>
      </c>
      <c r="D60" s="529" t="s">
        <v>332</v>
      </c>
      <c r="E60" s="505"/>
      <c r="F60" s="507"/>
      <c r="G60" s="507"/>
      <c r="H60" s="508"/>
      <c r="I60" s="509"/>
      <c r="J60" s="545">
        <v>7.6</v>
      </c>
      <c r="K60" s="546">
        <v>550</v>
      </c>
      <c r="L60" s="547">
        <v>4001</v>
      </c>
      <c r="M60" s="539">
        <f t="shared" si="0"/>
        <v>1200</v>
      </c>
      <c r="N60" s="540">
        <v>20</v>
      </c>
    </row>
    <row r="61" spans="1:14" hidden="1" x14ac:dyDescent="0.2">
      <c r="A61" s="581" t="s">
        <v>302</v>
      </c>
      <c r="B61" s="582"/>
      <c r="C61" s="511" t="s">
        <v>247</v>
      </c>
      <c r="D61" s="510"/>
      <c r="E61" s="510"/>
      <c r="F61" s="512"/>
      <c r="G61" s="512"/>
      <c r="H61" s="513"/>
      <c r="I61" s="514"/>
      <c r="J61" s="545">
        <v>19</v>
      </c>
      <c r="K61" s="546">
        <v>1370</v>
      </c>
      <c r="L61" s="547">
        <v>9500</v>
      </c>
      <c r="M61" s="539" t="str">
        <f t="shared" si="0"/>
        <v>UDEN FOR OMRÅDET</v>
      </c>
      <c r="N61" s="540">
        <v>20</v>
      </c>
    </row>
    <row r="62" spans="1:14" ht="13.5" hidden="1" thickBot="1" x14ac:dyDescent="0.25">
      <c r="A62" s="579" t="s">
        <v>303</v>
      </c>
      <c r="B62" s="580"/>
      <c r="C62" s="516" t="s">
        <v>248</v>
      </c>
      <c r="D62" s="515"/>
      <c r="E62" s="515"/>
      <c r="F62" s="517"/>
      <c r="G62" s="517"/>
      <c r="H62" s="518"/>
      <c r="I62" s="519"/>
      <c r="J62" s="548">
        <v>19</v>
      </c>
      <c r="K62" s="549">
        <v>1400</v>
      </c>
      <c r="L62" s="550">
        <v>11500</v>
      </c>
      <c r="M62" s="539" t="str">
        <f t="shared" si="0"/>
        <v>UDEN FOR OMRÅDET</v>
      </c>
      <c r="N62" s="541">
        <v>20</v>
      </c>
    </row>
  </sheetData>
  <sheetProtection password="9D73" sheet="1"/>
  <mergeCells count="16">
    <mergeCell ref="A60:B60"/>
    <mergeCell ref="A58:B58"/>
    <mergeCell ref="A62:B62"/>
    <mergeCell ref="A61:B61"/>
    <mergeCell ref="A45:N45"/>
    <mergeCell ref="H11:I11"/>
    <mergeCell ref="A11:A12"/>
    <mergeCell ref="F11:G11"/>
    <mergeCell ref="A1:N1"/>
    <mergeCell ref="A2:N2"/>
    <mergeCell ref="B11:B12"/>
    <mergeCell ref="C11:C12"/>
    <mergeCell ref="D11:D12"/>
    <mergeCell ref="E11:E12"/>
    <mergeCell ref="B4:E4"/>
    <mergeCell ref="B5:E5"/>
  </mergeCells>
  <phoneticPr fontId="0" type="noConversion"/>
  <pageMargins left="0.78740157480314965" right="0.39370078740157483" top="0.98425196850393704" bottom="0.98425196850393704"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zoomScaleNormal="100" workbookViewId="0">
      <selection activeCell="F12" sqref="F12:H12"/>
    </sheetView>
  </sheetViews>
  <sheetFormatPr baseColWidth="10" defaultColWidth="8.85546875" defaultRowHeight="12.75" x14ac:dyDescent="0.2"/>
  <cols>
    <col min="1" max="1" width="11.42578125" style="72" customWidth="1"/>
    <col min="2" max="3" width="12.7109375" style="72" customWidth="1"/>
    <col min="4" max="4" width="14.28515625" style="72" customWidth="1"/>
    <col min="5" max="5" width="15.7109375" style="72" customWidth="1"/>
    <col min="6" max="6" width="16.42578125" style="72" customWidth="1"/>
    <col min="7" max="7" width="15.7109375" style="72" hidden="1" customWidth="1"/>
    <col min="8" max="8" width="15.7109375" style="72" customWidth="1"/>
    <col min="9" max="10" width="10.7109375" style="72" customWidth="1"/>
    <col min="11" max="11" width="7.140625" style="72" hidden="1" customWidth="1"/>
    <col min="12" max="12" width="10.7109375" style="72" customWidth="1"/>
    <col min="13" max="13" width="20.42578125" style="72" bestFit="1" customWidth="1"/>
    <col min="14" max="16" width="8.85546875" style="72"/>
    <col min="17" max="18" width="20.28515625" style="72" bestFit="1" customWidth="1"/>
    <col min="19" max="16384" width="8.85546875" style="72"/>
  </cols>
  <sheetData>
    <row r="1" spans="1:14" ht="21" thickTop="1" x14ac:dyDescent="0.3">
      <c r="A1" s="597" t="s">
        <v>47</v>
      </c>
      <c r="B1" s="593"/>
      <c r="C1" s="593"/>
      <c r="D1" s="593"/>
      <c r="E1" s="593"/>
      <c r="F1" s="593"/>
      <c r="G1" s="593"/>
      <c r="H1" s="593"/>
      <c r="I1" s="593"/>
      <c r="J1" s="593"/>
      <c r="K1" s="70"/>
      <c r="L1" s="593"/>
      <c r="M1" s="594"/>
      <c r="N1" s="71"/>
    </row>
    <row r="2" spans="1:14" ht="21" thickBot="1" x14ac:dyDescent="0.35">
      <c r="A2" s="598" t="s">
        <v>48</v>
      </c>
      <c r="B2" s="595"/>
      <c r="C2" s="595"/>
      <c r="D2" s="595"/>
      <c r="E2" s="595"/>
      <c r="F2" s="595"/>
      <c r="G2" s="595"/>
      <c r="H2" s="595"/>
      <c r="I2" s="595"/>
      <c r="J2" s="595"/>
      <c r="K2" s="73"/>
      <c r="L2" s="595"/>
      <c r="M2" s="596"/>
      <c r="N2" s="71"/>
    </row>
    <row r="3" spans="1:14" ht="14.25" thickTop="1" thickBot="1" x14ac:dyDescent="0.25">
      <c r="A3" s="74"/>
      <c r="B3" s="75"/>
      <c r="C3" s="75"/>
      <c r="D3" s="75"/>
      <c r="E3" s="75"/>
      <c r="F3" s="76"/>
      <c r="G3" s="76"/>
      <c r="H3" s="76"/>
      <c r="I3" s="76"/>
      <c r="J3" s="76"/>
      <c r="K3" s="76"/>
      <c r="L3" s="76"/>
      <c r="M3" s="77"/>
    </row>
    <row r="4" spans="1:14" ht="13.5" thickBot="1" x14ac:dyDescent="0.25">
      <c r="A4" s="473" t="s">
        <v>307</v>
      </c>
      <c r="B4" s="572"/>
      <c r="C4" s="573"/>
      <c r="D4" s="573"/>
      <c r="E4" s="574"/>
      <c r="F4" s="79"/>
      <c r="G4" s="79"/>
      <c r="H4" s="79"/>
      <c r="I4" s="79"/>
      <c r="J4" s="79"/>
      <c r="K4" s="79"/>
      <c r="L4" s="79"/>
      <c r="M4" s="82"/>
    </row>
    <row r="5" spans="1:14" ht="13.5" thickBot="1" x14ac:dyDescent="0.25">
      <c r="A5" s="473" t="s">
        <v>309</v>
      </c>
      <c r="B5" s="572"/>
      <c r="C5" s="573"/>
      <c r="D5" s="573"/>
      <c r="E5" s="574"/>
      <c r="F5" s="79"/>
      <c r="G5" s="79"/>
      <c r="H5" s="79"/>
      <c r="I5" s="79"/>
      <c r="J5" s="79"/>
      <c r="K5" s="79"/>
      <c r="L5" s="79"/>
      <c r="M5" s="82"/>
    </row>
    <row r="6" spans="1:14" x14ac:dyDescent="0.2">
      <c r="A6" s="83"/>
      <c r="B6" s="84"/>
      <c r="C6" s="84"/>
      <c r="D6" s="84"/>
      <c r="E6" s="84"/>
      <c r="F6" s="79"/>
      <c r="G6" s="79"/>
      <c r="H6" s="79"/>
      <c r="I6" s="79"/>
      <c r="J6" s="79"/>
      <c r="K6" s="79"/>
      <c r="L6" s="79"/>
      <c r="M6" s="82"/>
    </row>
    <row r="7" spans="1:14" ht="13.5" thickBot="1" x14ac:dyDescent="0.25">
      <c r="A7" s="78"/>
      <c r="B7" s="79"/>
      <c r="C7" s="79"/>
      <c r="D7" s="80" t="s">
        <v>44</v>
      </c>
      <c r="E7" s="79"/>
      <c r="F7" s="81"/>
      <c r="I7" s="79"/>
      <c r="J7" s="79"/>
      <c r="K7" s="79"/>
      <c r="L7" s="79"/>
      <c r="M7" s="82"/>
    </row>
    <row r="8" spans="1:14" ht="13.5" hidden="1" thickBot="1" x14ac:dyDescent="0.25">
      <c r="A8" s="83" t="s">
        <v>10</v>
      </c>
      <c r="B8" s="84"/>
      <c r="C8" s="84"/>
      <c r="D8" s="85">
        <v>20</v>
      </c>
      <c r="E8" s="86" t="s">
        <v>11</v>
      </c>
      <c r="I8" s="79"/>
      <c r="J8" s="79"/>
      <c r="K8" s="79"/>
      <c r="L8" s="79"/>
      <c r="M8" s="82"/>
    </row>
    <row r="9" spans="1:14" ht="13.5" thickBot="1" x14ac:dyDescent="0.25">
      <c r="A9" s="83"/>
      <c r="B9" s="84"/>
      <c r="C9" s="87" t="s">
        <v>240</v>
      </c>
      <c r="D9" s="147">
        <v>600</v>
      </c>
      <c r="E9" s="86" t="s">
        <v>45</v>
      </c>
      <c r="F9" s="88"/>
      <c r="I9" s="79"/>
      <c r="J9" s="84"/>
      <c r="K9" s="79"/>
      <c r="L9" s="79"/>
      <c r="M9" s="82"/>
    </row>
    <row r="10" spans="1:14" x14ac:dyDescent="0.2">
      <c r="A10" s="78"/>
      <c r="B10" s="79"/>
      <c r="C10" s="79"/>
      <c r="D10" s="79"/>
      <c r="E10" s="79"/>
      <c r="I10" s="79"/>
      <c r="J10" s="84"/>
      <c r="K10" s="79"/>
      <c r="L10" s="79"/>
      <c r="M10" s="82"/>
    </row>
    <row r="11" spans="1:14" ht="13.5" thickBot="1" x14ac:dyDescent="0.25">
      <c r="A11" s="78"/>
      <c r="B11" s="79"/>
      <c r="C11" s="79"/>
      <c r="D11" s="79"/>
      <c r="E11" s="79"/>
      <c r="F11" s="79"/>
      <c r="G11" s="89"/>
      <c r="H11" s="79"/>
      <c r="I11" s="79"/>
      <c r="J11" s="79"/>
      <c r="K11" s="79"/>
      <c r="L11" s="79"/>
      <c r="M11" s="82"/>
    </row>
    <row r="12" spans="1:14" ht="13.5" thickTop="1" x14ac:dyDescent="0.2">
      <c r="A12" s="587" t="s">
        <v>46</v>
      </c>
      <c r="B12" s="599" t="s">
        <v>238</v>
      </c>
      <c r="C12" s="599" t="s">
        <v>239</v>
      </c>
      <c r="D12" s="589" t="s">
        <v>43</v>
      </c>
      <c r="E12" s="590"/>
      <c r="F12" s="585" t="s">
        <v>365</v>
      </c>
      <c r="G12" s="585"/>
      <c r="H12" s="586"/>
      <c r="I12" s="79"/>
      <c r="J12" s="79"/>
      <c r="K12" s="79"/>
      <c r="L12" s="79"/>
      <c r="M12" s="82"/>
    </row>
    <row r="13" spans="1:14" ht="13.5" thickBot="1" x14ac:dyDescent="0.25">
      <c r="A13" s="588"/>
      <c r="B13" s="571"/>
      <c r="C13" s="571"/>
      <c r="D13" s="48" t="s">
        <v>41</v>
      </c>
      <c r="E13" s="49" t="s">
        <v>42</v>
      </c>
      <c r="F13" s="50" t="s">
        <v>56</v>
      </c>
      <c r="G13" s="90" t="s">
        <v>12</v>
      </c>
      <c r="H13" s="51" t="s">
        <v>13</v>
      </c>
      <c r="I13" s="79"/>
      <c r="J13" s="79"/>
      <c r="K13" s="79"/>
      <c r="L13" s="79"/>
      <c r="M13" s="82"/>
    </row>
    <row r="14" spans="1:14" hidden="1" x14ac:dyDescent="0.2">
      <c r="A14" s="91" t="s">
        <v>18</v>
      </c>
      <c r="B14" s="92"/>
      <c r="C14" s="92"/>
      <c r="D14" s="55" t="s">
        <v>19</v>
      </c>
      <c r="E14" s="55" t="s">
        <v>15</v>
      </c>
      <c r="F14" s="39">
        <f>IF(L42="UDEN FOR OMRÅDET","Néant",IF(M42="UDEN FOR OMRÅDET","Néant",(0.006398*D9)))</f>
        <v>3.8388</v>
      </c>
      <c r="G14" s="93">
        <f>-0.000498*F14^5+0.005871*F14^4-0.024468*F14^3+0.037541*F14^2+0.381317*F14+0.010176</f>
        <v>1.5028395980702323</v>
      </c>
      <c r="H14" s="40">
        <f>IF(L42="UDEN FOR OMRÅDET","Néant",IF($D$9&lt;80,14,(((($D$9/1000)/G14)^2)*100)))</f>
        <v>15.939593492106759</v>
      </c>
      <c r="I14" s="79"/>
      <c r="J14" s="79"/>
      <c r="K14" s="79"/>
      <c r="L14" s="79"/>
      <c r="M14" s="82"/>
    </row>
    <row r="15" spans="1:14" hidden="1" x14ac:dyDescent="0.2">
      <c r="A15" s="94" t="s">
        <v>20</v>
      </c>
      <c r="B15" s="95"/>
      <c r="C15" s="95"/>
      <c r="D15" s="59" t="s">
        <v>21</v>
      </c>
      <c r="E15" s="59" t="s">
        <v>15</v>
      </c>
      <c r="F15" s="41">
        <f>IF(L43="UDEN FOR OMRÅDET","Néant",IF(M43="UDEN FOR OMRÅDET","Néant",(1.5247152E-18*D9^6-8.2348324758E-15*D9^5+1.77995508585783E-11*D9^4-1.9235480640142E-08*D9^3+0.0000108015895489203*D9^2-0.0010007046626199*D9+0.323878177531235)))</f>
        <v>1.1947821296246701</v>
      </c>
      <c r="G15" s="96">
        <f>-0.0039861079*F15^6+0.0576732375*F15^5-0.3302802366*F15^4+0.9223643621*F15^3-1.3894548228*F15^2+2.3343882681*F15-0.2516773097</f>
        <v>1.5828864216294347</v>
      </c>
      <c r="H15" s="40">
        <f>IF(L43="UDEN FOR OMRÅDET","Néant",IF($D$9&lt;50,14,(((($D$9/1000)/G15)^2)*100)))</f>
        <v>14.368220807283452</v>
      </c>
      <c r="I15" s="79"/>
      <c r="J15" s="79"/>
      <c r="K15" s="79"/>
      <c r="L15" s="79"/>
      <c r="M15" s="82"/>
    </row>
    <row r="16" spans="1:14" hidden="1" x14ac:dyDescent="0.2">
      <c r="A16" s="97" t="s">
        <v>22</v>
      </c>
      <c r="B16" s="98"/>
      <c r="C16" s="98"/>
      <c r="D16" s="63" t="s">
        <v>23</v>
      </c>
      <c r="E16" s="63" t="s">
        <v>15</v>
      </c>
      <c r="F16" s="41">
        <f>IF(L44="UDEN FOR OMRÅDET","Néant",IF(M44="UDEN FOR OMRÅDET","Néant",(0.00380952380952*D9)))</f>
        <v>2.2857142857119999</v>
      </c>
      <c r="G16" s="96">
        <f>-0.0086*F16^2+0.6881*F16+0.0087</f>
        <v>1.5365693877536191</v>
      </c>
      <c r="H16" s="40">
        <f>IF(L44="UDEN FOR OMRÅDET","Néant",IF($D$9&lt;50,12,(((($D$9/1000)/G16)^2)*100)))</f>
        <v>15.24748263148245</v>
      </c>
      <c r="I16" s="79"/>
      <c r="J16" s="79"/>
      <c r="K16" s="79"/>
      <c r="L16" s="79"/>
      <c r="M16" s="82"/>
    </row>
    <row r="17" spans="1:13" hidden="1" x14ac:dyDescent="0.2">
      <c r="A17" s="94" t="s">
        <v>24</v>
      </c>
      <c r="B17" s="95"/>
      <c r="C17" s="95"/>
      <c r="D17" s="59" t="s">
        <v>25</v>
      </c>
      <c r="E17" s="59" t="s">
        <v>26</v>
      </c>
      <c r="F17" s="41">
        <f>IF(L45="UDEN FOR OMRÅDET","Néant",IF(M45="UDEN FOR OMRÅDET","Néant",(0.000000000000578*D9^4-0.000000002249803*D9^3+0.000002989997209*D9^2+0.000191821643646*D9+0.246094550041393)))</f>
        <v>1.0265378834689929</v>
      </c>
      <c r="G17" s="96">
        <f>-0.0014892869*F17^6+0.0257700614*F17^5-0.1995231772*F17^4+0.7772951529*F17^3-1.6065084156*F17^2+2.8484843634*F17-0.2996802496</f>
        <v>1.5783977584399216</v>
      </c>
      <c r="H17" s="40">
        <f>IF(L45="UDEN FOR OMRÅDET","Néant",IF($D$9&lt;250,12,(((($D$9/1000)/G17)^2)*100)))</f>
        <v>14.450057984226913</v>
      </c>
      <c r="I17" s="79"/>
      <c r="J17" s="79"/>
      <c r="K17" s="79"/>
      <c r="L17" s="79"/>
      <c r="M17" s="82"/>
    </row>
    <row r="18" spans="1:13" x14ac:dyDescent="0.2">
      <c r="A18" s="60" t="s">
        <v>245</v>
      </c>
      <c r="B18" s="61" t="s">
        <v>241</v>
      </c>
      <c r="C18" s="61" t="s">
        <v>243</v>
      </c>
      <c r="D18" s="63" t="s">
        <v>28</v>
      </c>
      <c r="E18" s="478" t="s">
        <v>314</v>
      </c>
      <c r="F18" s="41">
        <f>IF(L46="UDEN FOR OMRÅDET","Néant",IF(M46="UDEN FOR OMRÅDET","Néant",(0.000000000000879*D9^4-0.0000000026564*D9^3+0.000002790146767*D9^2+0.000779022750185*D9+0.204989267294888)))</f>
        <v>1.2169917535258881</v>
      </c>
      <c r="G18" s="96">
        <f>0.0002*F18^4-0.0403*F18^3+0.1197*F18^2+1.2343*F18-0.0137</f>
        <v>1.5935169036304784</v>
      </c>
      <c r="H18" s="40">
        <f>IF(L46="UDEN FOR OMRÅDET","Néant",IF($D$9&lt;240,13.5,(((($D$9/1000)/G18)^2)*100)))</f>
        <v>14.177157081401399</v>
      </c>
      <c r="I18" s="79"/>
      <c r="J18" s="79"/>
      <c r="K18" s="79"/>
      <c r="L18" s="79"/>
      <c r="M18" s="82"/>
    </row>
    <row r="19" spans="1:13" x14ac:dyDescent="0.2">
      <c r="A19" s="99" t="s">
        <v>245</v>
      </c>
      <c r="B19" s="100" t="s">
        <v>242</v>
      </c>
      <c r="C19" s="100" t="s">
        <v>244</v>
      </c>
      <c r="D19" s="59" t="s">
        <v>25</v>
      </c>
      <c r="E19" s="449" t="s">
        <v>314</v>
      </c>
      <c r="F19" s="41">
        <f>IF(L47="UDEN FOR OMRÅDET","Néant",IF(M47="UDEN FOR OMRÅDET","Néant",(0.0000000000005607*D9^4-0.0000000022474923*D9^3+0.0000031352071003*D9^2-0.0000239414697848*D9+0.326255940065591)))</f>
        <v>1.0277739975027109</v>
      </c>
      <c r="G19" s="96">
        <f xml:space="preserve"> -0.0295*F19^4+0.235*F19^3-0.7397*F19^2+2.2089*F19-0.1367</f>
        <v>1.5744036525424814</v>
      </c>
      <c r="H19" s="40">
        <f>IF(L47="UDEN FOR OMRÅDET","Néant",IF($D$9&lt;440,13.5,(((($D$9/1000)/G19)^2)*100)))</f>
        <v>14.523467710396302</v>
      </c>
      <c r="I19" s="79"/>
      <c r="J19" s="79"/>
      <c r="K19" s="79"/>
      <c r="L19" s="79"/>
      <c r="M19" s="82"/>
    </row>
    <row r="20" spans="1:13" x14ac:dyDescent="0.2">
      <c r="A20" s="60" t="s">
        <v>246</v>
      </c>
      <c r="B20" s="61" t="s">
        <v>241</v>
      </c>
      <c r="C20" s="61" t="s">
        <v>243</v>
      </c>
      <c r="D20" s="63" t="s">
        <v>30</v>
      </c>
      <c r="E20" s="478" t="s">
        <v>314</v>
      </c>
      <c r="F20" s="41">
        <f>IF(L48="UDEN FOR OMRÅDET","Néant",IF(M48="UDEN FOR OMRÅDET","Néant",(0.000000000000082*D9^4-0.000000000447909*D9^3+0.000000882571919*D9^2+0.000393485172707*D9+0.170008718433059)))</f>
        <v>0.63770456889725902</v>
      </c>
      <c r="G20" s="96">
        <f>-0.0009*F20^4-0.0408*F20^3+0.0532*F20^2+2.2639*F20+0.1485</f>
        <v>1.6031044179022784</v>
      </c>
      <c r="H20" s="40">
        <f>IF(L48="UDEN FOR OMRÅDET","Néant",IF($D$9&lt;600,14,(((($D$9/1000)/G20)^2)*100)))</f>
        <v>14.008088563818175</v>
      </c>
      <c r="I20" s="79"/>
      <c r="J20" s="79"/>
      <c r="K20" s="79"/>
      <c r="L20" s="79"/>
      <c r="M20" s="82"/>
    </row>
    <row r="21" spans="1:13" x14ac:dyDescent="0.2">
      <c r="A21" s="99" t="s">
        <v>247</v>
      </c>
      <c r="B21" s="100" t="s">
        <v>241</v>
      </c>
      <c r="C21" s="100" t="s">
        <v>243</v>
      </c>
      <c r="D21" s="59" t="s">
        <v>31</v>
      </c>
      <c r="E21" s="449" t="s">
        <v>315</v>
      </c>
      <c r="F21" s="41" t="str">
        <f>IF(L49="UDEN FOR OMRÅDET","Néant",IF(M49="UDEN FOR OMRÅDET","Néant",IF(D9&gt;7050,4,(1.991E-21*D9^6-5.04426806E-17*D9^5+5.194999038249E-13*D9^4-2.7718399824566E-09*D9^3+0.0000080806755838486*D9^2-0.0118695972480039*D9+7.26406638121848))))</f>
        <v>Néant</v>
      </c>
      <c r="G21" s="96" t="e">
        <f>0.0314*F21^4+0.0298*F21^3-2.4926*F21^2+10.917*F21+0.215</f>
        <v>#VALUE!</v>
      </c>
      <c r="H21" s="40" t="str">
        <f>IF(L49="UDEN FOR OMRÅDET","Néant",IF($D$9&lt;2068,16,(((($D$9/1000)/G21)^2)*100)))</f>
        <v>Néant</v>
      </c>
      <c r="I21" s="79"/>
      <c r="J21" s="79"/>
      <c r="K21" s="79"/>
      <c r="L21" s="79"/>
      <c r="M21" s="82"/>
    </row>
    <row r="22" spans="1:13" ht="13.5" thickBot="1" x14ac:dyDescent="0.25">
      <c r="A22" s="101" t="s">
        <v>248</v>
      </c>
      <c r="B22" s="102" t="s">
        <v>241</v>
      </c>
      <c r="C22" s="102" t="s">
        <v>243</v>
      </c>
      <c r="D22" s="103" t="s">
        <v>32</v>
      </c>
      <c r="E22" s="479" t="s">
        <v>316</v>
      </c>
      <c r="F22" s="104" t="str">
        <f>IF(L50="UDEN FOR OMRÅDET","Néant",IF(M50="UDEN FOR OMRÅDET","Néant",IF(D9&gt;8450,4,(1.259599584E-21*D9^6-3.8397324403082E-17*D9^5+4.73777385425659E-13*D9^4-3.01075699136702E-09*D9^3+0.0000103574489737108*D9^2-0.0180028315642146*D9+12.784869126445))))</f>
        <v>Néant</v>
      </c>
      <c r="G22" s="105" t="e">
        <f>0.027692*F22^5-0.37669*F22^4+2.212005*F22^3-7.704196*F22^2+16.629417*F22-1.55</f>
        <v>#VALUE!</v>
      </c>
      <c r="H22" s="47" t="str">
        <f>IF(L50="UDEN FOR OMRÅDET","Néant",IF($D$9&lt;2265,19,(((($D$9/1000)/G22)^2)*100)))</f>
        <v>Néant</v>
      </c>
      <c r="I22" s="79"/>
      <c r="J22" s="79"/>
      <c r="K22" s="79"/>
      <c r="L22" s="79"/>
      <c r="M22" s="82"/>
    </row>
    <row r="23" spans="1:13" ht="13.5" thickTop="1" x14ac:dyDescent="0.2">
      <c r="A23" s="78"/>
      <c r="B23" s="79"/>
      <c r="C23" s="79"/>
      <c r="D23" s="79"/>
      <c r="E23" s="79"/>
      <c r="F23" s="79"/>
      <c r="G23" s="106"/>
      <c r="H23" s="79"/>
      <c r="I23" s="79"/>
      <c r="J23" s="79"/>
      <c r="K23" s="79"/>
      <c r="L23" s="79"/>
      <c r="M23" s="82"/>
    </row>
    <row r="24" spans="1:13" x14ac:dyDescent="0.2">
      <c r="A24" s="78"/>
      <c r="B24" s="79"/>
      <c r="C24" s="79"/>
      <c r="D24" s="79"/>
      <c r="E24" s="79"/>
      <c r="F24" s="79"/>
      <c r="G24" s="81"/>
      <c r="H24" s="81"/>
      <c r="I24" s="79"/>
      <c r="J24" s="79"/>
      <c r="K24" s="79"/>
      <c r="L24" s="79"/>
      <c r="M24" s="82"/>
    </row>
    <row r="25" spans="1:13" x14ac:dyDescent="0.2">
      <c r="A25" s="78"/>
      <c r="B25" s="79"/>
      <c r="C25" s="79"/>
      <c r="D25" s="79"/>
      <c r="E25" s="79"/>
      <c r="F25" s="79"/>
      <c r="G25" s="107"/>
      <c r="I25" s="79"/>
      <c r="J25" s="79"/>
      <c r="K25" s="79"/>
      <c r="L25" s="79"/>
      <c r="M25" s="82"/>
    </row>
    <row r="26" spans="1:13" x14ac:dyDescent="0.2">
      <c r="A26" s="78"/>
      <c r="B26" s="79"/>
      <c r="C26" s="79"/>
      <c r="D26" s="79"/>
      <c r="E26" s="79"/>
      <c r="F26" s="79"/>
      <c r="G26" s="108"/>
      <c r="I26" s="79"/>
      <c r="J26" s="79"/>
      <c r="K26" s="79"/>
      <c r="L26" s="79"/>
      <c r="M26" s="82"/>
    </row>
    <row r="27" spans="1:13" x14ac:dyDescent="0.2">
      <c r="A27" s="78"/>
      <c r="B27" s="79"/>
      <c r="C27" s="79"/>
      <c r="D27" s="79"/>
      <c r="E27" s="79"/>
      <c r="F27" s="79"/>
      <c r="G27" s="108"/>
      <c r="I27" s="79"/>
      <c r="J27" s="79"/>
      <c r="K27" s="79"/>
      <c r="L27" s="79"/>
      <c r="M27" s="82"/>
    </row>
    <row r="28" spans="1:13" x14ac:dyDescent="0.2">
      <c r="A28" s="78"/>
      <c r="B28" s="79"/>
      <c r="C28" s="79"/>
      <c r="D28" s="79"/>
      <c r="E28" s="79"/>
      <c r="F28" s="79"/>
      <c r="G28" s="108"/>
      <c r="I28" s="79"/>
      <c r="J28" s="79"/>
      <c r="K28" s="79"/>
      <c r="L28" s="79"/>
      <c r="M28" s="82"/>
    </row>
    <row r="29" spans="1:13" x14ac:dyDescent="0.2">
      <c r="A29" s="78"/>
      <c r="B29" s="79"/>
      <c r="C29" s="79"/>
      <c r="D29" s="79"/>
      <c r="E29" s="79"/>
      <c r="F29" s="79"/>
      <c r="G29" s="108"/>
      <c r="I29" s="79"/>
      <c r="J29" s="79"/>
      <c r="K29" s="79"/>
      <c r="L29" s="79"/>
      <c r="M29" s="82"/>
    </row>
    <row r="30" spans="1:13" x14ac:dyDescent="0.2">
      <c r="A30" s="78"/>
      <c r="B30" s="79"/>
      <c r="C30" s="79"/>
      <c r="D30" s="79"/>
      <c r="E30" s="79"/>
      <c r="F30" s="79"/>
      <c r="G30" s="108"/>
      <c r="I30" s="79"/>
      <c r="J30" s="79"/>
      <c r="K30" s="79"/>
      <c r="L30" s="79"/>
      <c r="M30" s="82"/>
    </row>
    <row r="31" spans="1:13" x14ac:dyDescent="0.2">
      <c r="A31" s="78"/>
      <c r="B31" s="79"/>
      <c r="C31" s="79"/>
      <c r="D31" s="79"/>
      <c r="E31" s="79"/>
      <c r="F31" s="79"/>
      <c r="G31" s="108"/>
      <c r="I31" s="79"/>
      <c r="J31" s="79"/>
      <c r="K31" s="79"/>
      <c r="L31" s="79"/>
      <c r="M31" s="82"/>
    </row>
    <row r="32" spans="1:13" x14ac:dyDescent="0.2">
      <c r="A32" s="78"/>
      <c r="B32" s="79"/>
      <c r="C32" s="79"/>
      <c r="D32" s="79"/>
      <c r="E32" s="79"/>
      <c r="F32" s="79"/>
      <c r="G32" s="108"/>
      <c r="I32" s="79"/>
      <c r="J32" s="79"/>
      <c r="K32" s="79"/>
      <c r="L32" s="79"/>
      <c r="M32" s="82"/>
    </row>
    <row r="33" spans="1:18" x14ac:dyDescent="0.2">
      <c r="A33" s="78"/>
      <c r="B33" s="79"/>
      <c r="C33" s="79"/>
      <c r="D33" s="79"/>
      <c r="E33" s="79"/>
      <c r="F33" s="79"/>
      <c r="G33" s="108"/>
      <c r="I33" s="79"/>
      <c r="J33" s="79"/>
      <c r="K33" s="79"/>
      <c r="L33" s="79"/>
      <c r="M33" s="82"/>
    </row>
    <row r="34" spans="1:18" x14ac:dyDescent="0.2">
      <c r="A34" s="78"/>
      <c r="B34" s="79"/>
      <c r="C34" s="79"/>
      <c r="D34" s="79"/>
      <c r="E34" s="79"/>
      <c r="F34" s="79"/>
      <c r="G34" s="108"/>
      <c r="I34" s="79"/>
      <c r="J34" s="79"/>
      <c r="K34" s="79"/>
      <c r="L34" s="79"/>
      <c r="M34" s="82"/>
    </row>
    <row r="35" spans="1:18" x14ac:dyDescent="0.2">
      <c r="A35" s="78"/>
      <c r="B35" s="79"/>
      <c r="C35" s="79"/>
      <c r="D35" s="79"/>
      <c r="E35" s="79"/>
      <c r="F35" s="79"/>
      <c r="G35" s="79"/>
      <c r="H35" s="109"/>
      <c r="I35" s="79"/>
      <c r="J35" s="79"/>
      <c r="K35" s="79"/>
      <c r="L35" s="79"/>
      <c r="M35" s="82"/>
    </row>
    <row r="36" spans="1:18" ht="13.5" thickBot="1" x14ac:dyDescent="0.25">
      <c r="A36" s="110" t="s">
        <v>57</v>
      </c>
      <c r="B36" s="111"/>
      <c r="C36" s="111"/>
      <c r="D36" s="111"/>
      <c r="E36" s="111"/>
      <c r="F36" s="112"/>
      <c r="G36" s="112"/>
      <c r="H36" s="111"/>
      <c r="I36" s="111"/>
      <c r="J36" s="111"/>
      <c r="K36" s="111"/>
      <c r="L36" s="111"/>
      <c r="M36" s="113"/>
    </row>
    <row r="37" spans="1:18" ht="10.5" customHeight="1" thickTop="1" x14ac:dyDescent="0.2">
      <c r="F37" s="114"/>
      <c r="G37" s="114"/>
    </row>
    <row r="38" spans="1:18" hidden="1" x14ac:dyDescent="0.2">
      <c r="F38" s="114"/>
      <c r="G38" s="114"/>
    </row>
    <row r="39" spans="1:18" s="117" customFormat="1" ht="31.5" hidden="1" customHeight="1" x14ac:dyDescent="0.4">
      <c r="A39" s="591" t="s">
        <v>9</v>
      </c>
      <c r="B39" s="591"/>
      <c r="C39" s="591"/>
      <c r="D39" s="591"/>
      <c r="E39" s="591"/>
      <c r="F39" s="592"/>
      <c r="G39" s="592"/>
      <c r="H39" s="592"/>
      <c r="I39" s="592"/>
      <c r="J39" s="592"/>
      <c r="K39" s="592"/>
      <c r="L39" s="592"/>
      <c r="M39" s="592"/>
      <c r="N39" s="115"/>
      <c r="O39" s="116"/>
      <c r="P39" s="116"/>
      <c r="Q39" s="116"/>
      <c r="R39" s="116"/>
    </row>
    <row r="40" spans="1:18" hidden="1" x14ac:dyDescent="0.2"/>
    <row r="41" spans="1:18" ht="13.5" hidden="1" thickTop="1" x14ac:dyDescent="0.2">
      <c r="A41" s="118" t="s">
        <v>0</v>
      </c>
      <c r="B41" s="119"/>
      <c r="C41" s="119"/>
      <c r="D41" s="119"/>
      <c r="E41" s="119"/>
      <c r="F41" s="120" t="s">
        <v>1</v>
      </c>
      <c r="G41" s="120" t="s">
        <v>2</v>
      </c>
      <c r="H41" s="120" t="s">
        <v>3</v>
      </c>
      <c r="I41" s="120" t="s">
        <v>8</v>
      </c>
      <c r="J41" s="120" t="s">
        <v>4</v>
      </c>
      <c r="K41" s="120" t="s">
        <v>5</v>
      </c>
      <c r="L41" s="121" t="s">
        <v>6</v>
      </c>
      <c r="M41" s="122" t="s">
        <v>7</v>
      </c>
    </row>
    <row r="42" spans="1:18" hidden="1" x14ac:dyDescent="0.2">
      <c r="A42" s="123" t="s">
        <v>18</v>
      </c>
      <c r="B42" s="124"/>
      <c r="C42" s="124"/>
      <c r="D42" s="124"/>
      <c r="E42" s="124"/>
      <c r="F42" s="125"/>
      <c r="G42" s="126"/>
      <c r="H42" s="127"/>
      <c r="I42" s="128">
        <v>1.6</v>
      </c>
      <c r="J42" s="129">
        <v>78</v>
      </c>
      <c r="K42" s="130">
        <v>625</v>
      </c>
      <c r="L42" s="131">
        <f t="shared" ref="L42:L50" si="0">IF($D$9&lt;=J42-1,"UDEN FOR OMRÅDET",IF($D$9&gt;=K42+1,"UDEN FOR OMRÅDET",$D$9))</f>
        <v>600</v>
      </c>
      <c r="M42" s="132">
        <f>IF($D$8&lt;=13,"UDEN FOR OMRÅDET",IF($D$8&gt;=401,"UDEN FOR OMRÅDET",$D$8))</f>
        <v>20</v>
      </c>
    </row>
    <row r="43" spans="1:18" hidden="1" x14ac:dyDescent="0.2">
      <c r="A43" s="123" t="s">
        <v>20</v>
      </c>
      <c r="B43" s="124"/>
      <c r="C43" s="124"/>
      <c r="D43" s="124"/>
      <c r="E43" s="124"/>
      <c r="F43" s="125"/>
      <c r="G43" s="126"/>
      <c r="H43" s="133"/>
      <c r="I43" s="128">
        <v>4.0999999999999996</v>
      </c>
      <c r="J43" s="129">
        <v>244</v>
      </c>
      <c r="K43" s="130">
        <v>1724</v>
      </c>
      <c r="L43" s="131">
        <f t="shared" si="0"/>
        <v>600</v>
      </c>
      <c r="M43" s="132">
        <f>IF($D$8&lt;=13,"UDEN FOR OMRÅDET",IF($D$8&gt;=401,"UDEN FOR OMRÅDET",$D$8))</f>
        <v>20</v>
      </c>
    </row>
    <row r="44" spans="1:18" hidden="1" x14ac:dyDescent="0.2">
      <c r="A44" s="123" t="s">
        <v>22</v>
      </c>
      <c r="B44" s="124"/>
      <c r="C44" s="124"/>
      <c r="D44" s="124"/>
      <c r="E44" s="124"/>
      <c r="F44" s="125"/>
      <c r="G44" s="126"/>
      <c r="H44" s="133"/>
      <c r="I44" s="128">
        <v>2.6</v>
      </c>
      <c r="J44" s="129">
        <v>131</v>
      </c>
      <c r="K44" s="130">
        <v>1050</v>
      </c>
      <c r="L44" s="131">
        <f t="shared" si="0"/>
        <v>600</v>
      </c>
      <c r="M44" s="132">
        <f>IF($D$8&lt;=13,"UDEN FOR OMRÅDET",IF($D$8&gt;=401,"UDEN FOR OMRÅDET",$D$8))</f>
        <v>20</v>
      </c>
    </row>
    <row r="45" spans="1:18" hidden="1" x14ac:dyDescent="0.2">
      <c r="A45" s="123" t="s">
        <v>24</v>
      </c>
      <c r="B45" s="124"/>
      <c r="C45" s="124"/>
      <c r="D45" s="124"/>
      <c r="E45" s="124"/>
      <c r="F45" s="125"/>
      <c r="G45" s="126"/>
      <c r="H45" s="133"/>
      <c r="I45" s="128">
        <v>4.3</v>
      </c>
      <c r="J45" s="129">
        <v>292</v>
      </c>
      <c r="K45" s="130">
        <v>2039</v>
      </c>
      <c r="L45" s="131">
        <f t="shared" si="0"/>
        <v>600</v>
      </c>
      <c r="M45" s="132">
        <f>IF($D$8&lt;=13,"UDEN FOR OMRÅDET",IF($D$8&gt;=401,"UDEN FOR OMRÅDET",$D$8))</f>
        <v>20</v>
      </c>
    </row>
    <row r="46" spans="1:18" hidden="1" x14ac:dyDescent="0.2">
      <c r="A46" s="123" t="s">
        <v>27</v>
      </c>
      <c r="B46" s="124"/>
      <c r="C46" s="124"/>
      <c r="D46" s="124"/>
      <c r="E46" s="124"/>
      <c r="F46" s="125"/>
      <c r="G46" s="126"/>
      <c r="H46" s="133"/>
      <c r="I46" s="128">
        <v>4.3</v>
      </c>
      <c r="J46" s="129">
        <v>231</v>
      </c>
      <c r="K46" s="130">
        <v>1722</v>
      </c>
      <c r="L46" s="131">
        <f t="shared" si="0"/>
        <v>600</v>
      </c>
      <c r="M46" s="132">
        <f>IF($D$8&lt;=13,"UDEN FOR OMRÅDET",IF($D$8&gt;=401,"UDEN FOR OMRÅDET",$D$8))</f>
        <v>20</v>
      </c>
    </row>
    <row r="47" spans="1:18" hidden="1" x14ac:dyDescent="0.2">
      <c r="A47" s="123" t="s">
        <v>29</v>
      </c>
      <c r="B47" s="124"/>
      <c r="C47" s="124"/>
      <c r="D47" s="124"/>
      <c r="E47" s="124"/>
      <c r="F47" s="125"/>
      <c r="G47" s="126"/>
      <c r="H47" s="133"/>
      <c r="I47" s="128">
        <v>4.3</v>
      </c>
      <c r="J47" s="129">
        <v>292</v>
      </c>
      <c r="K47" s="130">
        <v>2039</v>
      </c>
      <c r="L47" s="131">
        <f t="shared" si="0"/>
        <v>600</v>
      </c>
      <c r="M47" s="132">
        <f>IF($D$8&lt;=14,"UDEN FOR OMRÅDET",IF($D$8&gt;=401,"UDEN FOR OMRÅDET",$D$8))</f>
        <v>20</v>
      </c>
    </row>
    <row r="48" spans="1:18" hidden="1" x14ac:dyDescent="0.2">
      <c r="A48" s="123" t="s">
        <v>14</v>
      </c>
      <c r="B48" s="124"/>
      <c r="C48" s="124"/>
      <c r="D48" s="124"/>
      <c r="E48" s="124"/>
      <c r="F48" s="125"/>
      <c r="G48" s="126"/>
      <c r="H48" s="133"/>
      <c r="I48" s="128">
        <v>7.2</v>
      </c>
      <c r="J48" s="129">
        <v>465</v>
      </c>
      <c r="K48" s="130">
        <v>3056</v>
      </c>
      <c r="L48" s="131">
        <f t="shared" si="0"/>
        <v>600</v>
      </c>
      <c r="M48" s="132">
        <f>IF($D$8&lt;=13,"UDEN FOR OMRÅDET",IF($D$8&gt;=401,"UDEN FOR OMRÅDET",$D$8))</f>
        <v>20</v>
      </c>
    </row>
    <row r="49" spans="1:13" hidden="1" x14ac:dyDescent="0.2">
      <c r="A49" s="123" t="s">
        <v>16</v>
      </c>
      <c r="B49" s="124"/>
      <c r="C49" s="124"/>
      <c r="D49" s="124"/>
      <c r="E49" s="124"/>
      <c r="F49" s="125"/>
      <c r="G49" s="134"/>
      <c r="H49" s="135"/>
      <c r="I49" s="136">
        <v>13.9</v>
      </c>
      <c r="J49" s="131">
        <v>2022</v>
      </c>
      <c r="K49" s="131">
        <v>7105</v>
      </c>
      <c r="L49" s="131" t="str">
        <f t="shared" si="0"/>
        <v>UDEN FOR OMRÅDET</v>
      </c>
      <c r="M49" s="132">
        <f>IF($D$8&lt;=15,"UDEN FOR OMRÅDET",IF($D$8&gt;=401,"UDEN FOR OMRÅDET",$D$8))</f>
        <v>20</v>
      </c>
    </row>
    <row r="50" spans="1:13" ht="13.5" hidden="1" thickBot="1" x14ac:dyDescent="0.25">
      <c r="A50" s="137" t="s">
        <v>17</v>
      </c>
      <c r="B50" s="138"/>
      <c r="C50" s="138"/>
      <c r="D50" s="138"/>
      <c r="E50" s="138"/>
      <c r="F50" s="139"/>
      <c r="G50" s="140"/>
      <c r="H50" s="141"/>
      <c r="I50" s="142">
        <v>15.2</v>
      </c>
      <c r="J50" s="143">
        <v>2204</v>
      </c>
      <c r="K50" s="143">
        <v>8586</v>
      </c>
      <c r="L50" s="143" t="str">
        <f t="shared" si="0"/>
        <v>UDEN FOR OMRÅDET</v>
      </c>
      <c r="M50" s="144">
        <f>IF($D$8&lt;=18,"UDEN FOR OMRÅDET",IF($D$8&gt;=401,"UDEN FOR OMRÅDET",$D$8))</f>
        <v>20</v>
      </c>
    </row>
    <row r="51" spans="1:13" hidden="1" x14ac:dyDescent="0.2">
      <c r="A51" s="145"/>
      <c r="B51" s="145"/>
      <c r="C51" s="145"/>
      <c r="D51" s="145"/>
      <c r="E51" s="145"/>
      <c r="F51" s="79"/>
      <c r="G51" s="79"/>
      <c r="H51" s="79"/>
      <c r="I51" s="79"/>
      <c r="J51" s="79"/>
      <c r="K51" s="79"/>
      <c r="L51" s="79"/>
      <c r="M51" s="79"/>
    </row>
    <row r="54" spans="1:13" x14ac:dyDescent="0.2">
      <c r="G54" s="146"/>
    </row>
  </sheetData>
  <sheetProtection password="9D73" sheet="1"/>
  <mergeCells count="11">
    <mergeCell ref="B4:E4"/>
    <mergeCell ref="B5:E5"/>
    <mergeCell ref="A39:M39"/>
    <mergeCell ref="F12:H12"/>
    <mergeCell ref="A12:A13"/>
    <mergeCell ref="D12:E12"/>
    <mergeCell ref="L1:M2"/>
    <mergeCell ref="A1:J1"/>
    <mergeCell ref="A2:J2"/>
    <mergeCell ref="B12:B13"/>
    <mergeCell ref="C12:C13"/>
  </mergeCells>
  <phoneticPr fontId="0" type="noConversion"/>
  <pageMargins left="0.78740157480314965" right="0.39370078740157483" top="0.98425196850393704" bottom="0.98425196850393704" header="0.51181102362204722" footer="0.51181102362204722"/>
  <pageSetup paperSize="9" scale="10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showWhiteSpace="0" topLeftCell="A10" zoomScaleNormal="100" workbookViewId="0">
      <selection activeCell="F12" sqref="F12:G12"/>
    </sheetView>
  </sheetViews>
  <sheetFormatPr baseColWidth="10" defaultColWidth="8.85546875" defaultRowHeight="12.75" x14ac:dyDescent="0.2"/>
  <cols>
    <col min="1" max="1" width="10.7109375" style="72" customWidth="1"/>
    <col min="2" max="2" width="7.140625" style="72" customWidth="1"/>
    <col min="3" max="3" width="7.28515625" style="72" customWidth="1"/>
    <col min="4" max="4" width="14.28515625" style="72" customWidth="1"/>
    <col min="5" max="5" width="16.140625" style="72" customWidth="1"/>
    <col min="6" max="6" width="16.42578125" style="72" customWidth="1"/>
    <col min="7" max="7" width="15.7109375" style="72" customWidth="1"/>
    <col min="8" max="9" width="10.7109375" style="72" customWidth="1"/>
    <col min="10" max="10" width="7.140625" style="72" customWidth="1"/>
    <col min="11" max="11" width="10.7109375" style="72" customWidth="1"/>
    <col min="12" max="12" width="20.42578125" style="72" bestFit="1" customWidth="1"/>
    <col min="13" max="13" width="8.85546875" style="72"/>
    <col min="14" max="14" width="36" style="72" bestFit="1" customWidth="1"/>
    <col min="15" max="15" width="8.85546875" style="72"/>
    <col min="16" max="17" width="20.28515625" style="72" bestFit="1" customWidth="1"/>
    <col min="18" max="16384" width="8.85546875" style="72"/>
  </cols>
  <sheetData>
    <row r="1" spans="1:14" ht="21" thickTop="1" x14ac:dyDescent="0.3">
      <c r="A1" s="600" t="s">
        <v>278</v>
      </c>
      <c r="B1" s="601"/>
      <c r="C1" s="601"/>
      <c r="D1" s="601"/>
      <c r="E1" s="601"/>
      <c r="F1" s="601"/>
      <c r="G1" s="601"/>
      <c r="H1" s="601"/>
      <c r="I1" s="601"/>
      <c r="J1" s="601"/>
      <c r="K1" s="601"/>
      <c r="L1" s="602"/>
      <c r="M1" s="71"/>
    </row>
    <row r="2" spans="1:14" ht="21" thickBot="1" x14ac:dyDescent="0.35">
      <c r="A2" s="605" t="s">
        <v>55</v>
      </c>
      <c r="B2" s="606"/>
      <c r="C2" s="606"/>
      <c r="D2" s="606"/>
      <c r="E2" s="606"/>
      <c r="F2" s="606"/>
      <c r="G2" s="606"/>
      <c r="H2" s="606"/>
      <c r="I2" s="606"/>
      <c r="J2" s="606"/>
      <c r="K2" s="606"/>
      <c r="L2" s="607"/>
      <c r="M2" s="71"/>
    </row>
    <row r="3" spans="1:14" ht="14.25" thickTop="1" thickBot="1" x14ac:dyDescent="0.25">
      <c r="A3" s="74"/>
      <c r="B3" s="75"/>
      <c r="C3" s="75"/>
      <c r="D3" s="75"/>
      <c r="E3" s="75"/>
      <c r="F3" s="76"/>
      <c r="G3" s="76"/>
      <c r="H3" s="76"/>
      <c r="I3" s="76"/>
      <c r="J3" s="76"/>
      <c r="K3" s="76"/>
      <c r="L3" s="77"/>
    </row>
    <row r="4" spans="1:14" ht="13.5" thickBot="1" x14ac:dyDescent="0.25">
      <c r="A4" s="474" t="s">
        <v>307</v>
      </c>
      <c r="B4" s="572"/>
      <c r="C4" s="573"/>
      <c r="D4" s="573"/>
      <c r="E4" s="573"/>
      <c r="F4" s="574"/>
      <c r="G4" s="79"/>
      <c r="H4" s="79"/>
      <c r="I4" s="79"/>
      <c r="J4" s="79"/>
      <c r="K4" s="79"/>
      <c r="L4" s="82"/>
    </row>
    <row r="5" spans="1:14" ht="13.5" thickBot="1" x14ac:dyDescent="0.25">
      <c r="A5" s="474" t="s">
        <v>308</v>
      </c>
      <c r="B5" s="572"/>
      <c r="C5" s="573"/>
      <c r="D5" s="573"/>
      <c r="E5" s="573"/>
      <c r="F5" s="574"/>
      <c r="G5" s="79"/>
      <c r="H5" s="79"/>
      <c r="I5" s="79"/>
      <c r="J5" s="79"/>
      <c r="K5" s="79"/>
      <c r="L5" s="82"/>
    </row>
    <row r="6" spans="1:14" x14ac:dyDescent="0.2">
      <c r="A6" s="83"/>
      <c r="B6" s="84"/>
      <c r="C6" s="84"/>
      <c r="D6" s="84"/>
      <c r="E6" s="84"/>
      <c r="F6" s="79"/>
      <c r="G6" s="79"/>
      <c r="H6" s="79"/>
      <c r="I6" s="79"/>
      <c r="J6" s="79"/>
      <c r="K6" s="79"/>
      <c r="L6" s="82"/>
    </row>
    <row r="7" spans="1:14" ht="13.5" thickBot="1" x14ac:dyDescent="0.25">
      <c r="A7" s="78"/>
      <c r="B7" s="79"/>
      <c r="C7" s="79"/>
      <c r="D7" s="80" t="s">
        <v>44</v>
      </c>
      <c r="E7" s="79"/>
      <c r="F7" s="81"/>
      <c r="H7" s="79"/>
      <c r="I7" s="79"/>
      <c r="J7" s="79"/>
      <c r="K7" s="79"/>
      <c r="L7" s="82"/>
    </row>
    <row r="8" spans="1:14" ht="13.5" hidden="1" thickBot="1" x14ac:dyDescent="0.25">
      <c r="A8" s="83" t="s">
        <v>10</v>
      </c>
      <c r="B8" s="84"/>
      <c r="C8" s="84"/>
      <c r="D8" s="85">
        <v>20</v>
      </c>
      <c r="E8" s="86" t="s">
        <v>11</v>
      </c>
      <c r="H8" s="79"/>
      <c r="I8" s="79"/>
      <c r="J8" s="79"/>
      <c r="K8" s="79"/>
      <c r="L8" s="82"/>
    </row>
    <row r="9" spans="1:14" ht="13.5" thickBot="1" x14ac:dyDescent="0.25">
      <c r="A9" s="148"/>
      <c r="B9" s="87"/>
      <c r="C9" s="87" t="s">
        <v>240</v>
      </c>
      <c r="D9" s="147">
        <v>100</v>
      </c>
      <c r="E9" s="86" t="s">
        <v>279</v>
      </c>
      <c r="F9" s="88"/>
      <c r="H9" s="79"/>
      <c r="I9" s="84"/>
      <c r="J9" s="79"/>
      <c r="K9" s="79"/>
      <c r="L9" s="82"/>
    </row>
    <row r="10" spans="1:14" x14ac:dyDescent="0.2">
      <c r="A10" s="78"/>
      <c r="B10" s="79"/>
      <c r="C10" s="79"/>
      <c r="D10" s="79"/>
      <c r="E10" s="79"/>
      <c r="H10" s="79"/>
      <c r="I10" s="84"/>
      <c r="J10" s="79"/>
      <c r="K10" s="79"/>
      <c r="L10" s="82"/>
    </row>
    <row r="11" spans="1:14" ht="13.5" thickBot="1" x14ac:dyDescent="0.25">
      <c r="A11" s="78"/>
      <c r="B11" s="79"/>
      <c r="C11" s="79"/>
      <c r="D11" s="79"/>
      <c r="E11" s="79"/>
      <c r="F11" s="79"/>
      <c r="G11" s="79"/>
      <c r="H11" s="79"/>
      <c r="I11" s="79"/>
      <c r="J11" s="79"/>
      <c r="K11" s="79"/>
      <c r="L11" s="82"/>
    </row>
    <row r="12" spans="1:14" ht="13.5" thickTop="1" x14ac:dyDescent="0.2">
      <c r="A12" s="587" t="s">
        <v>75</v>
      </c>
      <c r="B12" s="603" t="s">
        <v>283</v>
      </c>
      <c r="C12" s="603" t="s">
        <v>284</v>
      </c>
      <c r="D12" s="585" t="s">
        <v>269</v>
      </c>
      <c r="E12" s="590"/>
      <c r="F12" s="585" t="s">
        <v>365</v>
      </c>
      <c r="G12" s="586"/>
      <c r="H12" s="79"/>
      <c r="I12" s="79"/>
      <c r="J12" s="79"/>
      <c r="K12" s="79"/>
      <c r="L12" s="82"/>
    </row>
    <row r="13" spans="1:14" ht="13.5" thickBot="1" x14ac:dyDescent="0.25">
      <c r="A13" s="588"/>
      <c r="B13" s="604"/>
      <c r="C13" s="604"/>
      <c r="D13" s="48" t="s">
        <v>281</v>
      </c>
      <c r="E13" s="49" t="s">
        <v>282</v>
      </c>
      <c r="F13" s="50" t="s">
        <v>56</v>
      </c>
      <c r="G13" s="51" t="s">
        <v>13</v>
      </c>
      <c r="H13" s="79"/>
      <c r="I13" s="79"/>
      <c r="J13" s="79"/>
      <c r="K13" s="79"/>
      <c r="L13" s="82"/>
    </row>
    <row r="14" spans="1:14" x14ac:dyDescent="0.2">
      <c r="A14" s="149" t="s">
        <v>248</v>
      </c>
      <c r="B14" s="150" t="s">
        <v>287</v>
      </c>
      <c r="C14" s="150" t="s">
        <v>288</v>
      </c>
      <c r="D14" s="477" t="s">
        <v>356</v>
      </c>
      <c r="E14" s="477" t="s">
        <v>317</v>
      </c>
      <c r="F14" s="39" t="str">
        <f>IF(K43="UDEN FOR OMRÅDET","Néant",IF(L43="UDEN FOR OMRÅDET","NOT POSSIBLE",(-0.0007*D9^3+0.0111*D9^2+0.2671*D9-0.1437)))</f>
        <v>Néant</v>
      </c>
      <c r="G14" s="151" t="str">
        <f>IF(K43="UDEN FOR OMRÅDET","Néant",IF($D$9&lt;3.9,6.5,((((0.25*F14^3-0.25*F14^2+0.5*F14+6))))))</f>
        <v>Néant</v>
      </c>
      <c r="H14" s="79"/>
      <c r="I14" s="79"/>
      <c r="J14" s="79"/>
      <c r="K14" s="79"/>
      <c r="L14" s="82"/>
    </row>
    <row r="15" spans="1:14" x14ac:dyDescent="0.2">
      <c r="A15" s="152" t="s">
        <v>248</v>
      </c>
      <c r="B15" s="153" t="s">
        <v>289</v>
      </c>
      <c r="C15" s="153" t="s">
        <v>290</v>
      </c>
      <c r="D15" s="449" t="s">
        <v>357</v>
      </c>
      <c r="E15" s="449" t="s">
        <v>316</v>
      </c>
      <c r="F15" s="39" t="str">
        <f>IF(K44="UDEN FOR OMRÅDET","Néant",IF(L44="UDEN FOR OMRÅDET","NOT POSSIBLE",(-0.000159*D9^3+0.004239*D9^2+0.159774*D9-0.099711)))</f>
        <v>Néant</v>
      </c>
      <c r="G15" s="151" t="str">
        <f>IF(K44="UDEN FOR OMRÅDET","Néant",IF($D$9&lt;6.2,19,((((0.6667*F15^3-0.5*F15^2-1.1667*F15+20))))))</f>
        <v>Néant</v>
      </c>
      <c r="H15" s="79"/>
      <c r="I15" s="79"/>
      <c r="J15" s="79"/>
      <c r="K15" s="79"/>
      <c r="L15" s="82"/>
    </row>
    <row r="16" spans="1:14" ht="12.75" customHeight="1" x14ac:dyDescent="0.2">
      <c r="A16" s="154" t="s">
        <v>285</v>
      </c>
      <c r="B16" s="155" t="s">
        <v>287</v>
      </c>
      <c r="C16" s="156" t="s">
        <v>288</v>
      </c>
      <c r="D16" s="478" t="s">
        <v>358</v>
      </c>
      <c r="E16" s="478" t="s">
        <v>318</v>
      </c>
      <c r="F16" s="39" t="str">
        <f>IF(K45="UDEN FOR OMRÅDET","Néant",IF(L45="UDEN FOR OMRÅDET","NOT POSSIBLE",(-0.000124*D9^3+0.002487*D9^2+0.185365*D9-0.283831)))</f>
        <v>Néant</v>
      </c>
      <c r="G16" s="151" t="str">
        <f>IF(K45="UDEN FOR OMRÅDET","Néant",IF($D$9&lt;6.6,15,((((0.6667*F16^3-4.5*F16^2+11.833*F16+7))))))</f>
        <v>Néant</v>
      </c>
      <c r="H16" s="79"/>
      <c r="I16" s="79"/>
      <c r="J16" s="79"/>
      <c r="K16" s="79"/>
      <c r="L16" s="82"/>
      <c r="N16" s="157"/>
    </row>
    <row r="17" spans="1:14" x14ac:dyDescent="0.2">
      <c r="A17" s="158" t="s">
        <v>285</v>
      </c>
      <c r="B17" s="153" t="s">
        <v>289</v>
      </c>
      <c r="C17" s="153" t="s">
        <v>290</v>
      </c>
      <c r="D17" s="449" t="s">
        <v>359</v>
      </c>
      <c r="E17" s="449" t="s">
        <v>319</v>
      </c>
      <c r="F17" s="39" t="str">
        <f>IF(K46="UDEN FOR OMRÅDET","Néant",IF(L46="UDEN FOR OMRÅDET","NOT POSSIBLE",(0.00000407*D9^4-0.00036799*D9^3+0.01016138*D9^2+0.03167768*D9+0.12121138)))</f>
        <v>Néant</v>
      </c>
      <c r="G17" s="151" t="str">
        <f>IF(K46="UDEN FOR OMRÅDET","Néant",IF($D$9&lt;9.1,30,((((2.6667*F17^3-15.5*F17^2+29.833*F17+13))))))</f>
        <v>Néant</v>
      </c>
      <c r="H17" s="79"/>
      <c r="I17" s="79"/>
      <c r="J17" s="79"/>
      <c r="K17" s="79"/>
      <c r="L17" s="82"/>
      <c r="N17" s="159"/>
    </row>
    <row r="18" spans="1:14" x14ac:dyDescent="0.2">
      <c r="A18" s="154" t="s">
        <v>286</v>
      </c>
      <c r="B18" s="155" t="s">
        <v>287</v>
      </c>
      <c r="C18" s="156" t="s">
        <v>288</v>
      </c>
      <c r="D18" s="478" t="s">
        <v>360</v>
      </c>
      <c r="E18" s="478" t="s">
        <v>315</v>
      </c>
      <c r="F18" s="39" t="str">
        <f>IF(K47="UDEN FOR OMRÅDET","Néant",IF(L47="UDEN FOR OMRÅDET","NOT POSSIBLE",(-0.000044*D9^3+0.000728*D9^2+0.150689*D9-0.254301)))</f>
        <v>Néant</v>
      </c>
      <c r="G18" s="151" t="str">
        <f>IF(K47="UDEN FOR OMRÅDET","Néant",IF($D$9&lt;8.3,16,((((0.5*F18^3-3*F18^2+7.5*F18+11))))))</f>
        <v>Néant</v>
      </c>
      <c r="H18" s="79"/>
      <c r="I18" s="79"/>
      <c r="J18" s="79"/>
      <c r="K18" s="79"/>
      <c r="L18" s="82"/>
    </row>
    <row r="19" spans="1:14" x14ac:dyDescent="0.2">
      <c r="A19" s="158" t="s">
        <v>286</v>
      </c>
      <c r="B19" s="160" t="s">
        <v>289</v>
      </c>
      <c r="C19" s="160" t="s">
        <v>290</v>
      </c>
      <c r="D19" s="449" t="s">
        <v>361</v>
      </c>
      <c r="E19" s="449" t="s">
        <v>320</v>
      </c>
      <c r="F19" s="39" t="str">
        <f>IF(K48="UDEN FOR OMRÅDET","Néant",IF(L48="UDEN FOR OMRÅDET","NOT POSSIBLE",(0.00000156*D9^4-0.0001838*D9^3+0.00652234*D9^2+0.0239868*D9+0.17174038)))</f>
        <v>Néant</v>
      </c>
      <c r="G19" s="151" t="str">
        <f>IF(K48="UDEN FOR OMRÅDET","Néant",IF($D$9&lt;11,23,((((1.8245614*F19^3-9.20300752*F19^2+16.72431078*F19+13.67293233))))))</f>
        <v>Néant</v>
      </c>
      <c r="H19" s="79"/>
      <c r="I19" s="79"/>
      <c r="J19" s="79"/>
      <c r="K19" s="79"/>
      <c r="L19" s="82"/>
    </row>
    <row r="20" spans="1:14" x14ac:dyDescent="0.2">
      <c r="A20" s="450" t="s">
        <v>298</v>
      </c>
      <c r="B20" s="476" t="s">
        <v>287</v>
      </c>
      <c r="C20" s="476" t="s">
        <v>288</v>
      </c>
      <c r="D20" s="451" t="s">
        <v>362</v>
      </c>
      <c r="E20" s="451" t="s">
        <v>347</v>
      </c>
      <c r="F20" s="39" t="str">
        <f>IF(K49="UDEN FOR OMRÅDET","Néant",IF(L49="UDEN FOR OMRÅDET","Néant",(0.0000006139*D9^4-0.000106561*D9^3+0.0058288674*D9^2-0.0444580014*D9+0.4579242305)))</f>
        <v>Néant</v>
      </c>
      <c r="G20" s="151" t="str">
        <f>IF(K49="UDEN FOR OMRÅDET","Néant",IF($D$9&lt;8.3,16,((((0.0000690761*D9^3-0.0045265849*D9^2+0.2633541895*D9+16.2995714859))))))</f>
        <v>Néant</v>
      </c>
      <c r="H20" s="79"/>
      <c r="I20" s="79"/>
      <c r="J20" s="79"/>
      <c r="K20" s="79"/>
      <c r="L20" s="82"/>
    </row>
    <row r="21" spans="1:14" x14ac:dyDescent="0.2">
      <c r="A21" s="447" t="s">
        <v>298</v>
      </c>
      <c r="B21" s="160" t="s">
        <v>289</v>
      </c>
      <c r="C21" s="160" t="s">
        <v>290</v>
      </c>
      <c r="D21" s="449" t="s">
        <v>363</v>
      </c>
      <c r="E21" s="449" t="s">
        <v>319</v>
      </c>
      <c r="F21" s="39" t="str">
        <f>IF(K50="UDEN FOR OMRÅDET","Néant",IF(L50="UDEN FOR OMRÅDET","Néant",(0.0000002014*D9^4-0.0000448209*D9^3+0.0030842417*D9^2-0.0208500823*D9+0.3651879533)))</f>
        <v>Néant</v>
      </c>
      <c r="G21" s="151" t="str">
        <f>IF(K50="UDEN FOR OMRÅDET","Néant",IF($D$9&lt;8.3,16,((((0.0000124414*D9^3+0.0047437114*D9^2+0.0004843365*D9+27.4237821061))))))</f>
        <v>Néant</v>
      </c>
      <c r="H21" s="79"/>
      <c r="I21" s="79"/>
      <c r="J21" s="79"/>
      <c r="K21" s="79"/>
      <c r="L21" s="82"/>
    </row>
    <row r="22" spans="1:14" x14ac:dyDescent="0.2">
      <c r="A22" s="450" t="s">
        <v>339</v>
      </c>
      <c r="B22" s="476" t="s">
        <v>306</v>
      </c>
      <c r="C22" s="476" t="s">
        <v>306</v>
      </c>
      <c r="D22" s="451" t="s">
        <v>364</v>
      </c>
      <c r="E22" s="451" t="s">
        <v>315</v>
      </c>
      <c r="F22" s="39">
        <f>IF(K51="UDEN FOR OMRÅDET","Néant",IF(L51="UDEN FOR OMRÅDET","Néant",(-0.0000024*D9^3+0.00033459*D9^2+0.02873223*D9-0.03574711)))</f>
        <v>3.7833758900000003</v>
      </c>
      <c r="G22" s="151">
        <f>IF(K51="UDEN FOR OMRÅDET","Néant",IF($D$9&lt;28.5,16,((((0.00004639*D9^3-0.00631449*D9^2+0.36332191*D9+9.70047171))))))</f>
        <v>29.277762710000005</v>
      </c>
      <c r="H22" s="79"/>
      <c r="I22" s="79"/>
      <c r="J22" s="79"/>
      <c r="K22" s="79"/>
      <c r="L22" s="82"/>
    </row>
    <row r="23" spans="1:14" x14ac:dyDescent="0.2">
      <c r="A23" s="447" t="s">
        <v>339</v>
      </c>
      <c r="B23" s="555" t="s">
        <v>306</v>
      </c>
      <c r="C23" s="555" t="s">
        <v>306</v>
      </c>
      <c r="D23" s="449" t="s">
        <v>341</v>
      </c>
      <c r="E23" s="449" t="s">
        <v>346</v>
      </c>
      <c r="F23" s="39">
        <f>IF(K52="UDEN FOR OMRÅDET","Néant",IF(L52="UDEN FOR OMRÅDET","Néant",(0.0000000087*D9^4-0.0000042912*D9^3+0.000602127*D9^2+0.0030265472*D9+0.2709223762)))</f>
        <v>3.1736470962000007</v>
      </c>
      <c r="G23" s="151">
        <f>IF(K52="UDEN FOR OMRÅDET","Néant",IF($D$9&lt;36.5,27,((((0.00003815*D9^3-0.00623625*D9^2+0.39933964*D9+18.87714266))))))</f>
        <v>34.598606660000002</v>
      </c>
      <c r="H23" s="79"/>
      <c r="I23" s="79"/>
      <c r="J23" s="79"/>
      <c r="K23" s="79"/>
      <c r="L23" s="82"/>
    </row>
    <row r="24" spans="1:14" x14ac:dyDescent="0.2">
      <c r="A24" s="450" t="s">
        <v>340</v>
      </c>
      <c r="B24" s="476" t="s">
        <v>306</v>
      </c>
      <c r="C24" s="476" t="s">
        <v>306</v>
      </c>
      <c r="D24" s="451" t="s">
        <v>342</v>
      </c>
      <c r="E24" s="451" t="s">
        <v>345</v>
      </c>
      <c r="F24" s="39">
        <f>IF(K53="UDEN FOR OMRÅDET","Néant",IF(L53="UDEN FOR OMRÅDET","Néant",(0.0000000079*D9^4-0.0000031427*D9^3+0.0003781874*D9^2+0.0139576939*D9+0.0433215217)))</f>
        <v>2.8682649117000003</v>
      </c>
      <c r="G24" s="151">
        <f>IF(K53="UDEN FOR OMRÅDET","Néant",IF($D$9&lt;70.4,21,((((-1.6666666667*F24^3+13.5*F24^2-27.8333333333*F24+37))))))</f>
        <v>28.901942491804249</v>
      </c>
      <c r="H24" s="79"/>
      <c r="I24" s="79"/>
      <c r="J24" s="79"/>
      <c r="K24" s="79"/>
      <c r="L24" s="82"/>
    </row>
    <row r="25" spans="1:14" x14ac:dyDescent="0.2">
      <c r="A25" s="447" t="s">
        <v>340</v>
      </c>
      <c r="B25" s="555" t="s">
        <v>306</v>
      </c>
      <c r="C25" s="555" t="s">
        <v>306</v>
      </c>
      <c r="D25" s="449" t="s">
        <v>343</v>
      </c>
      <c r="E25" s="449" t="s">
        <v>344</v>
      </c>
      <c r="F25" s="39">
        <f>IF(K54="UDEN FOR OMRÅDET","Néant",IF(L54="UDEN FOR OMRÅDET","Néant",(0.000000004262661*D9^4-0.000002203935325*D9^3+0.000349196460344*D9^2+0.003639383225018*D9+0.193846671691572)))</f>
        <v>2.2720803726333716</v>
      </c>
      <c r="G25" s="151">
        <f>IF(K54="UDEN FOR OMRÅDET","Néant",IF($D$9&lt;89,33,((((-0.6666666667*F25^3+9.5*F25^2-22.8333333333*F25+47))))))</f>
        <v>36.34363418591272</v>
      </c>
      <c r="H25" s="79"/>
      <c r="I25" s="79"/>
      <c r="J25" s="79"/>
      <c r="K25" s="79"/>
      <c r="L25" s="82"/>
    </row>
    <row r="26" spans="1:14" x14ac:dyDescent="0.2">
      <c r="A26" s="78"/>
      <c r="B26" s="79"/>
      <c r="C26" s="79"/>
      <c r="D26" s="79"/>
      <c r="E26" s="79"/>
      <c r="F26" s="79"/>
      <c r="H26" s="79"/>
      <c r="I26" s="79"/>
      <c r="J26" s="79"/>
      <c r="K26" s="79"/>
      <c r="L26" s="82"/>
    </row>
    <row r="27" spans="1:14" x14ac:dyDescent="0.2">
      <c r="A27" s="78"/>
      <c r="B27" s="79"/>
      <c r="C27" s="79"/>
      <c r="D27" s="79"/>
      <c r="E27" s="79"/>
      <c r="F27" s="79"/>
      <c r="H27" s="79"/>
      <c r="I27" s="79"/>
      <c r="J27" s="79"/>
      <c r="K27" s="79"/>
      <c r="L27" s="82"/>
    </row>
    <row r="28" spans="1:14" x14ac:dyDescent="0.2">
      <c r="A28" s="78"/>
      <c r="B28" s="79"/>
      <c r="C28" s="79"/>
      <c r="D28" s="79"/>
      <c r="E28" s="79"/>
      <c r="F28" s="79"/>
      <c r="H28" s="79"/>
      <c r="I28" s="79"/>
      <c r="J28" s="79"/>
      <c r="K28" s="79"/>
      <c r="L28" s="82"/>
    </row>
    <row r="29" spans="1:14" x14ac:dyDescent="0.2">
      <c r="A29" s="78"/>
      <c r="B29" s="79"/>
      <c r="C29" s="79"/>
      <c r="D29" s="79"/>
      <c r="E29" s="79"/>
      <c r="F29" s="79"/>
      <c r="H29" s="79"/>
      <c r="I29" s="79"/>
      <c r="J29" s="79"/>
      <c r="K29" s="79"/>
      <c r="L29" s="82"/>
    </row>
    <row r="30" spans="1:14" x14ac:dyDescent="0.2">
      <c r="A30" s="78"/>
      <c r="B30" s="79"/>
      <c r="C30" s="79"/>
      <c r="D30" s="79"/>
      <c r="E30" s="79"/>
      <c r="F30" s="79"/>
      <c r="H30" s="79"/>
      <c r="I30" s="79"/>
      <c r="J30" s="79"/>
      <c r="K30" s="79"/>
      <c r="L30" s="82"/>
    </row>
    <row r="31" spans="1:14" x14ac:dyDescent="0.2">
      <c r="A31" s="78"/>
      <c r="B31" s="79"/>
      <c r="C31" s="79"/>
      <c r="D31" s="79"/>
      <c r="E31" s="79"/>
      <c r="F31" s="79"/>
      <c r="H31" s="79"/>
      <c r="I31" s="79"/>
      <c r="J31" s="79"/>
      <c r="K31" s="79"/>
      <c r="L31" s="82"/>
    </row>
    <row r="32" spans="1:14" x14ac:dyDescent="0.2">
      <c r="A32" s="78"/>
      <c r="B32" s="79"/>
      <c r="C32" s="79"/>
      <c r="D32" s="79"/>
      <c r="E32" s="79"/>
      <c r="F32" s="79"/>
      <c r="H32" s="79"/>
      <c r="I32" s="79"/>
      <c r="J32" s="79"/>
      <c r="K32" s="79"/>
      <c r="L32" s="82"/>
    </row>
    <row r="33" spans="1:17" x14ac:dyDescent="0.2">
      <c r="A33" s="78"/>
      <c r="B33" s="79"/>
      <c r="C33" s="79"/>
      <c r="D33" s="79"/>
      <c r="E33" s="79"/>
      <c r="F33" s="79"/>
      <c r="H33" s="79"/>
      <c r="I33" s="79"/>
      <c r="J33" s="79"/>
      <c r="K33" s="79"/>
      <c r="L33" s="82"/>
    </row>
    <row r="34" spans="1:17" x14ac:dyDescent="0.2">
      <c r="A34" s="78"/>
      <c r="B34" s="79"/>
      <c r="C34" s="79"/>
      <c r="D34" s="79"/>
      <c r="E34" s="79"/>
      <c r="F34" s="79"/>
      <c r="H34" s="79"/>
      <c r="I34" s="79"/>
      <c r="J34" s="79"/>
      <c r="K34" s="79"/>
      <c r="L34" s="82"/>
    </row>
    <row r="35" spans="1:17" x14ac:dyDescent="0.2">
      <c r="A35" s="78"/>
      <c r="B35" s="79"/>
      <c r="C35" s="79"/>
      <c r="D35" s="79"/>
      <c r="E35" s="79"/>
      <c r="F35" s="79"/>
      <c r="H35" s="79"/>
      <c r="I35" s="79"/>
      <c r="J35" s="79"/>
      <c r="K35" s="79"/>
      <c r="L35" s="82"/>
    </row>
    <row r="36" spans="1:17" x14ac:dyDescent="0.2">
      <c r="A36" s="78"/>
      <c r="B36" s="79"/>
      <c r="C36" s="79"/>
      <c r="D36" s="79"/>
      <c r="E36" s="79"/>
      <c r="F36" s="79"/>
      <c r="G36" s="109"/>
      <c r="H36" s="79"/>
      <c r="I36" s="79"/>
      <c r="J36" s="79"/>
      <c r="K36" s="79"/>
      <c r="L36" s="82"/>
    </row>
    <row r="37" spans="1:17" ht="13.5" thickBot="1" x14ac:dyDescent="0.25">
      <c r="A37" s="110" t="s">
        <v>280</v>
      </c>
      <c r="B37" s="111"/>
      <c r="C37" s="111"/>
      <c r="D37" s="111"/>
      <c r="E37" s="111"/>
      <c r="F37" s="112"/>
      <c r="G37" s="111"/>
      <c r="H37" s="111"/>
      <c r="I37" s="111"/>
      <c r="J37" s="111"/>
      <c r="K37" s="111"/>
      <c r="L37" s="113"/>
    </row>
    <row r="38" spans="1:17" ht="13.5" thickTop="1" x14ac:dyDescent="0.2">
      <c r="F38" s="114"/>
    </row>
    <row r="39" spans="1:17" hidden="1" x14ac:dyDescent="0.2">
      <c r="F39" s="114"/>
    </row>
    <row r="40" spans="1:17" s="117" customFormat="1" ht="31.5" hidden="1" customHeight="1" x14ac:dyDescent="0.4">
      <c r="A40" s="591" t="s">
        <v>9</v>
      </c>
      <c r="B40" s="591"/>
      <c r="C40" s="591"/>
      <c r="D40" s="591"/>
      <c r="E40" s="591"/>
      <c r="F40" s="592"/>
      <c r="G40" s="592"/>
      <c r="H40" s="592"/>
      <c r="I40" s="592"/>
      <c r="J40" s="592"/>
      <c r="K40" s="592"/>
      <c r="L40" s="592"/>
      <c r="M40" s="115"/>
      <c r="N40" s="116"/>
      <c r="O40" s="116"/>
      <c r="P40" s="116"/>
      <c r="Q40" s="116"/>
    </row>
    <row r="41" spans="1:17" ht="13.5" hidden="1" thickBot="1" x14ac:dyDescent="0.25"/>
    <row r="42" spans="1:17" ht="14.25" hidden="1" thickTop="1" thickBot="1" x14ac:dyDescent="0.25">
      <c r="A42" s="118" t="s">
        <v>0</v>
      </c>
      <c r="B42" s="119"/>
      <c r="C42" s="119"/>
      <c r="D42" s="119"/>
      <c r="E42" s="119"/>
      <c r="F42" s="120" t="s">
        <v>1</v>
      </c>
      <c r="G42" s="120" t="s">
        <v>3</v>
      </c>
      <c r="H42" s="120" t="s">
        <v>8</v>
      </c>
      <c r="I42" s="120" t="s">
        <v>4</v>
      </c>
      <c r="J42" s="120" t="s">
        <v>5</v>
      </c>
      <c r="K42" s="121" t="s">
        <v>6</v>
      </c>
      <c r="L42" s="122" t="s">
        <v>7</v>
      </c>
    </row>
    <row r="43" spans="1:17" hidden="1" x14ac:dyDescent="0.2">
      <c r="A43" s="91" t="s">
        <v>270</v>
      </c>
      <c r="B43" s="161"/>
      <c r="C43" s="161"/>
      <c r="D43" s="124"/>
      <c r="E43" s="124"/>
      <c r="F43" s="125"/>
      <c r="G43" s="127"/>
      <c r="H43" s="128">
        <v>33.5</v>
      </c>
      <c r="I43" s="162">
        <v>2.48</v>
      </c>
      <c r="J43" s="163">
        <v>15</v>
      </c>
      <c r="K43" s="131" t="str">
        <f t="shared" ref="K43:K48" si="0">IF($D$9&lt;=I43-0.001,"UDEN FOR OMRÅDET",IF($D$9&gt;=J43+0.1,"UDEN FOR OMRÅDET",$D$9))</f>
        <v>UDEN FOR OMRÅDET</v>
      </c>
      <c r="L43" s="132">
        <f>IF($D$8&lt;=13,"UDEN FOR OMRÅDET",IF($D$8&gt;=401,"UDEN FOR OMRÅDET",$D$8))</f>
        <v>20</v>
      </c>
    </row>
    <row r="44" spans="1:17" hidden="1" x14ac:dyDescent="0.2">
      <c r="A44" s="164" t="s">
        <v>271</v>
      </c>
      <c r="B44" s="165"/>
      <c r="C44" s="165"/>
      <c r="D44" s="124"/>
      <c r="E44" s="124"/>
      <c r="F44" s="125"/>
      <c r="G44" s="133"/>
      <c r="H44" s="128">
        <v>33.5</v>
      </c>
      <c r="I44" s="162">
        <v>3.92</v>
      </c>
      <c r="J44" s="163">
        <v>24</v>
      </c>
      <c r="K44" s="131" t="str">
        <f t="shared" si="0"/>
        <v>UDEN FOR OMRÅDET</v>
      </c>
      <c r="L44" s="132">
        <f>IF($D$8&lt;=13,"UDEN FOR OMRÅDET",IF($D$8&gt;=401,"UDEN FOR OMRÅDET",$D$8))</f>
        <v>20</v>
      </c>
    </row>
    <row r="45" spans="1:17" hidden="1" x14ac:dyDescent="0.2">
      <c r="A45" s="97" t="s">
        <v>272</v>
      </c>
      <c r="B45" s="166"/>
      <c r="C45" s="166"/>
      <c r="D45" s="124"/>
      <c r="E45" s="124"/>
      <c r="F45" s="125"/>
      <c r="G45" s="133"/>
      <c r="H45" s="128">
        <v>50</v>
      </c>
      <c r="I45" s="162">
        <v>4.38</v>
      </c>
      <c r="J45" s="163">
        <v>25</v>
      </c>
      <c r="K45" s="131" t="str">
        <f t="shared" si="0"/>
        <v>UDEN FOR OMRÅDET</v>
      </c>
      <c r="L45" s="132">
        <f>IF($D$8&lt;=13,"UDEN FOR OMRÅDET",IF($D$8&gt;=401,"UDEN FOR OMRÅDET",$D$8))</f>
        <v>20</v>
      </c>
    </row>
    <row r="46" spans="1:17" hidden="1" x14ac:dyDescent="0.2">
      <c r="A46" s="164" t="s">
        <v>274</v>
      </c>
      <c r="B46" s="165"/>
      <c r="C46" s="165"/>
      <c r="D46" s="124"/>
      <c r="E46" s="124"/>
      <c r="F46" s="125"/>
      <c r="G46" s="133"/>
      <c r="H46" s="128">
        <v>50</v>
      </c>
      <c r="I46" s="162">
        <v>5.95</v>
      </c>
      <c r="J46" s="163">
        <v>35</v>
      </c>
      <c r="K46" s="131" t="str">
        <f t="shared" si="0"/>
        <v>UDEN FOR OMRÅDET</v>
      </c>
      <c r="L46" s="132">
        <f>IF($D$8&lt;=13,"UDEN FOR OMRÅDET",IF($D$8&gt;=401,"UDEN FOR OMRÅDET",$D$8))</f>
        <v>20</v>
      </c>
    </row>
    <row r="47" spans="1:17" hidden="1" x14ac:dyDescent="0.2">
      <c r="A47" s="97" t="s">
        <v>275</v>
      </c>
      <c r="B47" s="166"/>
      <c r="C47" s="166"/>
      <c r="D47" s="124"/>
      <c r="E47" s="124"/>
      <c r="F47" s="125"/>
      <c r="G47" s="133"/>
      <c r="H47" s="128">
        <v>68</v>
      </c>
      <c r="I47" s="162">
        <v>5.3</v>
      </c>
      <c r="J47" s="163">
        <v>34</v>
      </c>
      <c r="K47" s="131" t="str">
        <f t="shared" si="0"/>
        <v>UDEN FOR OMRÅDET</v>
      </c>
      <c r="L47" s="132">
        <f>IF($D$8&lt;=13,"UDEN FOR OMRÅDET",IF($D$8&gt;=401,"UDEN FOR OMRÅDET",$D$8))</f>
        <v>20</v>
      </c>
    </row>
    <row r="48" spans="1:17" hidden="1" x14ac:dyDescent="0.2">
      <c r="A48" s="164" t="s">
        <v>277</v>
      </c>
      <c r="B48" s="165"/>
      <c r="C48" s="165"/>
      <c r="D48" s="124"/>
      <c r="E48" s="124"/>
      <c r="F48" s="125"/>
      <c r="G48" s="133"/>
      <c r="H48" s="128">
        <v>68</v>
      </c>
      <c r="I48" s="162">
        <v>7</v>
      </c>
      <c r="J48" s="163">
        <v>43</v>
      </c>
      <c r="K48" s="131" t="str">
        <f t="shared" si="0"/>
        <v>UDEN FOR OMRÅDET</v>
      </c>
      <c r="L48" s="132">
        <f t="shared" ref="L48:L54" si="1">IF($D$8&lt;=14,"UDEN FOR OMRÅDET",IF($D$8&gt;=401,"UDEN FOR OMRÅDET",$D$8))</f>
        <v>20</v>
      </c>
    </row>
    <row r="49" spans="1:12" hidden="1" x14ac:dyDescent="0.2">
      <c r="A49" s="448" t="s">
        <v>299</v>
      </c>
      <c r="B49" s="165"/>
      <c r="C49" s="165"/>
      <c r="D49" s="124"/>
      <c r="E49" s="124"/>
      <c r="F49" s="125"/>
      <c r="G49" s="133"/>
      <c r="H49" s="128">
        <v>115</v>
      </c>
      <c r="I49" s="162">
        <v>12.1</v>
      </c>
      <c r="J49" s="163">
        <v>68</v>
      </c>
      <c r="K49" s="131" t="str">
        <f t="shared" ref="K49:K54" si="2">IF($D$9&lt;=I49-0.001,"UDEN FOR OMRÅDET",IF($D$9&gt;=J49+0.1,"UDEN FOR OMRÅDET",$D$9))</f>
        <v>UDEN FOR OMRÅDET</v>
      </c>
      <c r="L49" s="132">
        <f t="shared" si="1"/>
        <v>20</v>
      </c>
    </row>
    <row r="50" spans="1:12" hidden="1" x14ac:dyDescent="0.2">
      <c r="A50" s="448" t="s">
        <v>300</v>
      </c>
      <c r="B50" s="165"/>
      <c r="C50" s="165"/>
      <c r="D50" s="124"/>
      <c r="E50" s="124"/>
      <c r="F50" s="125"/>
      <c r="G50" s="133"/>
      <c r="H50" s="128">
        <v>115</v>
      </c>
      <c r="I50" s="162">
        <v>14.8</v>
      </c>
      <c r="J50" s="163">
        <v>90</v>
      </c>
      <c r="K50" s="131" t="str">
        <f t="shared" si="2"/>
        <v>UDEN FOR OMRÅDET</v>
      </c>
      <c r="L50" s="132">
        <f t="shared" si="1"/>
        <v>20</v>
      </c>
    </row>
    <row r="51" spans="1:12" hidden="1" x14ac:dyDescent="0.2">
      <c r="A51" s="448" t="s">
        <v>337</v>
      </c>
      <c r="B51" s="165"/>
      <c r="C51" s="165"/>
      <c r="D51" s="124"/>
      <c r="E51" s="124"/>
      <c r="F51" s="125"/>
      <c r="G51" s="133"/>
      <c r="H51" s="128">
        <v>167</v>
      </c>
      <c r="I51" s="162">
        <v>18.5</v>
      </c>
      <c r="J51" s="163">
        <v>110</v>
      </c>
      <c r="K51" s="131">
        <f t="shared" si="2"/>
        <v>100</v>
      </c>
      <c r="L51" s="132">
        <f t="shared" si="1"/>
        <v>20</v>
      </c>
    </row>
    <row r="52" spans="1:12" hidden="1" x14ac:dyDescent="0.2">
      <c r="A52" s="448" t="s">
        <v>335</v>
      </c>
      <c r="B52" s="165"/>
      <c r="C52" s="165"/>
      <c r="D52" s="124"/>
      <c r="E52" s="124"/>
      <c r="F52" s="125"/>
      <c r="G52" s="133"/>
      <c r="H52" s="128">
        <v>167</v>
      </c>
      <c r="I52" s="162">
        <v>23</v>
      </c>
      <c r="J52" s="163">
        <v>135</v>
      </c>
      <c r="K52" s="131">
        <f t="shared" si="2"/>
        <v>100</v>
      </c>
      <c r="L52" s="132">
        <f t="shared" si="1"/>
        <v>20</v>
      </c>
    </row>
    <row r="53" spans="1:12" hidden="1" x14ac:dyDescent="0.2">
      <c r="A53" s="448" t="s">
        <v>338</v>
      </c>
      <c r="B53" s="165"/>
      <c r="C53" s="165"/>
      <c r="D53" s="124"/>
      <c r="E53" s="124"/>
      <c r="F53" s="125"/>
      <c r="G53" s="133"/>
      <c r="H53" s="128">
        <v>250</v>
      </c>
      <c r="I53" s="162">
        <v>25.6</v>
      </c>
      <c r="J53" s="163">
        <v>148</v>
      </c>
      <c r="K53" s="131">
        <f t="shared" si="2"/>
        <v>100</v>
      </c>
      <c r="L53" s="132">
        <f t="shared" si="1"/>
        <v>20</v>
      </c>
    </row>
    <row r="54" spans="1:12" hidden="1" x14ac:dyDescent="0.2">
      <c r="A54" s="448" t="s">
        <v>336</v>
      </c>
      <c r="B54" s="165"/>
      <c r="C54" s="165"/>
      <c r="D54" s="124"/>
      <c r="E54" s="124"/>
      <c r="F54" s="125"/>
      <c r="G54" s="133"/>
      <c r="H54" s="128">
        <v>241.9</v>
      </c>
      <c r="I54" s="162">
        <v>32</v>
      </c>
      <c r="J54" s="163">
        <v>195</v>
      </c>
      <c r="K54" s="131">
        <f t="shared" si="2"/>
        <v>100</v>
      </c>
      <c r="L54" s="132">
        <f t="shared" si="1"/>
        <v>20</v>
      </c>
    </row>
    <row r="55" spans="1:12" x14ac:dyDescent="0.2">
      <c r="F55" s="167"/>
    </row>
  </sheetData>
  <sheetProtection password="9D73" sheet="1"/>
  <mergeCells count="10">
    <mergeCell ref="A40:L40"/>
    <mergeCell ref="A1:L1"/>
    <mergeCell ref="B12:B13"/>
    <mergeCell ref="C12:C13"/>
    <mergeCell ref="B4:F4"/>
    <mergeCell ref="B5:F5"/>
    <mergeCell ref="A2:L2"/>
    <mergeCell ref="A12:A13"/>
    <mergeCell ref="D12:E12"/>
    <mergeCell ref="F12:G12"/>
  </mergeCells>
  <pageMargins left="0.78740157480314965" right="0.39370078740157483" top="0.98425196850393704" bottom="0.98425196850393704" header="0.51181102362204722" footer="0.51181102362204722"/>
  <pageSetup paperSize="9" scale="10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5"/>
  <sheetViews>
    <sheetView showGridLines="0" zoomScaleNormal="100" workbookViewId="0">
      <selection activeCell="A5" sqref="A5"/>
    </sheetView>
  </sheetViews>
  <sheetFormatPr baseColWidth="10" defaultColWidth="11.140625" defaultRowHeight="12.75" x14ac:dyDescent="0.2"/>
  <cols>
    <col min="1" max="1" width="10.7109375" style="72" customWidth="1"/>
    <col min="2" max="2" width="13.85546875" style="72" customWidth="1"/>
    <col min="3" max="3" width="9.7109375" style="72" customWidth="1"/>
    <col min="4" max="5" width="9.42578125" style="72" customWidth="1"/>
    <col min="6" max="7" width="10.7109375" style="72" customWidth="1"/>
    <col min="8" max="8" width="8.140625" style="72" customWidth="1"/>
    <col min="9" max="9" width="13" style="72" bestFit="1" customWidth="1"/>
    <col min="10" max="10" width="9.28515625" style="72" customWidth="1"/>
    <col min="11" max="11" width="13" style="72" bestFit="1" customWidth="1"/>
    <col min="12" max="12" width="14.5703125" style="72" bestFit="1" customWidth="1"/>
    <col min="13" max="13" width="14.28515625" style="72" bestFit="1" customWidth="1"/>
    <col min="14" max="14" width="13" style="72" bestFit="1" customWidth="1"/>
    <col min="15" max="15" width="8.7109375" style="72" hidden="1" customWidth="1"/>
    <col min="16" max="22" width="11.140625" style="72" hidden="1" customWidth="1"/>
    <col min="23" max="43" width="11.140625" style="72" customWidth="1"/>
    <col min="44" max="16384" width="11.140625" style="72"/>
  </cols>
  <sheetData>
    <row r="1" spans="1:30" ht="21.6" customHeight="1" thickTop="1" x14ac:dyDescent="0.25">
      <c r="A1" s="612" t="s">
        <v>162</v>
      </c>
      <c r="B1" s="613"/>
      <c r="C1" s="613"/>
      <c r="D1" s="613"/>
      <c r="E1" s="613"/>
      <c r="F1" s="613"/>
      <c r="G1" s="613"/>
      <c r="H1" s="613"/>
      <c r="I1" s="613"/>
      <c r="J1" s="613"/>
      <c r="K1" s="613"/>
      <c r="L1" s="613"/>
      <c r="M1" s="613"/>
      <c r="N1" s="614"/>
      <c r="O1" s="168"/>
      <c r="P1" s="169"/>
      <c r="Q1" s="169"/>
      <c r="R1" s="169"/>
      <c r="S1" s="169"/>
      <c r="T1" s="170"/>
    </row>
    <row r="2" spans="1:30" ht="20.25" x14ac:dyDescent="0.3">
      <c r="A2" s="615"/>
      <c r="B2" s="616"/>
      <c r="C2" s="616"/>
      <c r="D2" s="616"/>
      <c r="E2" s="616"/>
      <c r="F2" s="616"/>
      <c r="G2" s="616"/>
      <c r="H2" s="616"/>
      <c r="I2" s="616"/>
      <c r="J2" s="616"/>
      <c r="K2" s="616"/>
      <c r="L2" s="616"/>
      <c r="M2" s="616"/>
      <c r="N2" s="617"/>
      <c r="O2" s="171"/>
      <c r="P2" s="79"/>
      <c r="Q2" s="79"/>
      <c r="R2" s="79"/>
      <c r="S2" s="79"/>
      <c r="T2" s="172"/>
    </row>
    <row r="3" spans="1:30" ht="13.5" thickBot="1" x14ac:dyDescent="0.25">
      <c r="A3" s="618"/>
      <c r="B3" s="619"/>
      <c r="C3" s="619"/>
      <c r="D3" s="619"/>
      <c r="E3" s="619"/>
      <c r="F3" s="619"/>
      <c r="G3" s="619"/>
      <c r="H3" s="619"/>
      <c r="I3" s="619"/>
      <c r="J3" s="619"/>
      <c r="K3" s="619"/>
      <c r="L3" s="619"/>
      <c r="M3" s="619"/>
      <c r="N3" s="620"/>
      <c r="O3" s="89"/>
      <c r="P3" s="79"/>
      <c r="Q3" s="173"/>
      <c r="R3" s="174"/>
      <c r="S3" s="174"/>
      <c r="T3" s="175"/>
      <c r="U3" s="79"/>
      <c r="V3" s="173"/>
      <c r="W3" s="174"/>
      <c r="X3" s="174"/>
      <c r="Y3" s="176"/>
      <c r="Z3" s="79"/>
    </row>
    <row r="4" spans="1:30" ht="21.75" thickTop="1" thickBot="1" x14ac:dyDescent="0.25">
      <c r="A4" s="469"/>
      <c r="B4" s="470"/>
      <c r="C4" s="470"/>
      <c r="D4" s="470"/>
      <c r="E4" s="470"/>
      <c r="F4" s="470"/>
      <c r="G4" s="470"/>
      <c r="H4" s="470"/>
      <c r="I4" s="470"/>
      <c r="J4" s="470"/>
      <c r="K4" s="470"/>
      <c r="L4" s="470"/>
      <c r="M4" s="470"/>
      <c r="N4" s="471"/>
      <c r="O4" s="89"/>
      <c r="P4" s="79"/>
      <c r="Q4" s="173"/>
      <c r="R4" s="174"/>
      <c r="S4" s="174"/>
      <c r="T4" s="175"/>
      <c r="U4" s="79"/>
      <c r="V4" s="173"/>
      <c r="W4" s="174"/>
      <c r="X4" s="174"/>
      <c r="Y4" s="176"/>
      <c r="Z4" s="79"/>
    </row>
    <row r="5" spans="1:30" ht="16.899999999999999" customHeight="1" thickBot="1" x14ac:dyDescent="0.25">
      <c r="A5" s="475" t="s">
        <v>307</v>
      </c>
      <c r="B5" s="621"/>
      <c r="C5" s="621"/>
      <c r="D5" s="621"/>
      <c r="E5" s="621"/>
      <c r="F5" s="621"/>
      <c r="G5" s="470"/>
      <c r="H5" s="470"/>
      <c r="I5" s="470"/>
      <c r="J5" s="470"/>
      <c r="K5" s="470"/>
      <c r="L5" s="470"/>
      <c r="M5" s="470"/>
      <c r="N5" s="471"/>
      <c r="O5" s="89"/>
      <c r="P5" s="79"/>
      <c r="Q5" s="173"/>
      <c r="R5" s="174"/>
      <c r="S5" s="174"/>
      <c r="T5" s="175"/>
      <c r="U5" s="79"/>
      <c r="V5" s="173"/>
      <c r="W5" s="174"/>
      <c r="X5" s="174"/>
      <c r="Y5" s="176"/>
      <c r="Z5" s="79"/>
    </row>
    <row r="6" spans="1:30" ht="16.149999999999999" customHeight="1" thickBot="1" x14ac:dyDescent="0.25">
      <c r="A6" s="475" t="s">
        <v>308</v>
      </c>
      <c r="B6" s="621"/>
      <c r="C6" s="621"/>
      <c r="D6" s="621"/>
      <c r="E6" s="621"/>
      <c r="F6" s="621"/>
      <c r="G6" s="470"/>
      <c r="H6" s="470"/>
      <c r="I6" s="470"/>
      <c r="J6" s="470"/>
      <c r="K6" s="470"/>
      <c r="L6" s="470"/>
      <c r="M6" s="470"/>
      <c r="N6" s="471"/>
      <c r="O6" s="89"/>
      <c r="P6" s="79"/>
      <c r="Q6" s="173"/>
      <c r="R6" s="174"/>
      <c r="S6" s="174"/>
      <c r="T6" s="175"/>
      <c r="U6" s="79"/>
      <c r="V6" s="173"/>
      <c r="W6" s="174"/>
      <c r="X6" s="174"/>
      <c r="Y6" s="176"/>
      <c r="Z6" s="79"/>
    </row>
    <row r="7" spans="1:30" ht="20.25" x14ac:dyDescent="0.2">
      <c r="A7" s="469"/>
      <c r="B7" s="470"/>
      <c r="C7" s="470"/>
      <c r="D7" s="470"/>
      <c r="E7" s="470"/>
      <c r="F7" s="470"/>
      <c r="G7" s="470"/>
      <c r="H7" s="470"/>
      <c r="I7" s="470"/>
      <c r="J7" s="470"/>
      <c r="K7" s="470"/>
      <c r="L7" s="470"/>
      <c r="M7" s="470"/>
      <c r="N7" s="471"/>
      <c r="O7" s="89"/>
      <c r="P7" s="79"/>
      <c r="Q7" s="173"/>
      <c r="R7" s="174"/>
      <c r="S7" s="174"/>
      <c r="T7" s="175"/>
      <c r="U7" s="79"/>
      <c r="V7" s="173"/>
      <c r="W7" s="174"/>
      <c r="X7" s="174"/>
      <c r="Y7" s="176"/>
      <c r="Z7" s="79"/>
    </row>
    <row r="8" spans="1:30" ht="13.5" thickBot="1" x14ac:dyDescent="0.25">
      <c r="A8" s="78"/>
      <c r="B8" s="84"/>
      <c r="C8" s="79"/>
      <c r="D8" s="80" t="s">
        <v>44</v>
      </c>
      <c r="E8" s="79"/>
      <c r="F8" s="177" t="s">
        <v>163</v>
      </c>
      <c r="G8" s="178"/>
      <c r="H8" s="178"/>
      <c r="I8" s="179"/>
      <c r="J8" s="180" t="s">
        <v>165</v>
      </c>
      <c r="K8" s="180" t="s">
        <v>60</v>
      </c>
      <c r="L8" s="180" t="s">
        <v>166</v>
      </c>
      <c r="M8" s="180" t="s">
        <v>166</v>
      </c>
      <c r="N8" s="181" t="s">
        <v>61</v>
      </c>
      <c r="O8" s="89"/>
      <c r="P8" s="79"/>
      <c r="Q8" s="173"/>
      <c r="R8" s="173"/>
      <c r="S8" s="173"/>
      <c r="T8" s="182"/>
      <c r="U8" s="183"/>
      <c r="V8" s="173"/>
      <c r="W8" s="173"/>
      <c r="X8" s="173"/>
      <c r="Y8" s="183"/>
      <c r="Z8" s="183"/>
    </row>
    <row r="9" spans="1:30" ht="13.5" thickBot="1" x14ac:dyDescent="0.25">
      <c r="A9" s="78"/>
      <c r="B9" s="184"/>
      <c r="C9" s="107" t="s">
        <v>201</v>
      </c>
      <c r="D9" s="316">
        <v>700</v>
      </c>
      <c r="E9" s="80" t="s">
        <v>45</v>
      </c>
      <c r="F9" s="185"/>
      <c r="G9" s="186"/>
      <c r="H9" s="186"/>
      <c r="I9" s="187"/>
      <c r="J9" s="188" t="s">
        <v>62</v>
      </c>
      <c r="K9" s="188" t="s">
        <v>63</v>
      </c>
      <c r="L9" s="188" t="s">
        <v>167</v>
      </c>
      <c r="M9" s="188" t="s">
        <v>168</v>
      </c>
      <c r="N9" s="189"/>
      <c r="O9" s="89"/>
      <c r="P9" s="89"/>
      <c r="Q9" s="183"/>
      <c r="R9" s="183"/>
      <c r="S9" s="183"/>
      <c r="T9" s="182"/>
      <c r="U9" s="183"/>
      <c r="V9" s="183"/>
      <c r="W9" s="183"/>
      <c r="X9" s="183"/>
      <c r="Y9" s="183"/>
      <c r="Z9" s="183"/>
    </row>
    <row r="10" spans="1:30" ht="13.5" thickBot="1" x14ac:dyDescent="0.25">
      <c r="A10" s="78"/>
      <c r="B10" s="190"/>
      <c r="C10" s="80"/>
      <c r="D10" s="80"/>
      <c r="E10" s="79"/>
      <c r="F10" s="84"/>
      <c r="G10" s="84"/>
      <c r="H10" s="191"/>
      <c r="I10" s="191"/>
      <c r="J10" s="107"/>
      <c r="K10" s="107"/>
      <c r="L10" s="107"/>
      <c r="M10" s="107"/>
      <c r="N10" s="192"/>
      <c r="O10" s="89"/>
      <c r="P10" s="89"/>
      <c r="Q10" s="183"/>
      <c r="R10" s="183"/>
      <c r="S10" s="183"/>
      <c r="T10" s="182"/>
      <c r="U10" s="183"/>
      <c r="V10" s="183"/>
      <c r="W10" s="183"/>
      <c r="X10" s="183"/>
      <c r="Y10" s="183"/>
      <c r="Z10" s="183"/>
      <c r="AD10" s="190"/>
    </row>
    <row r="11" spans="1:30" ht="13.5" thickBot="1" x14ac:dyDescent="0.25">
      <c r="A11" s="78"/>
      <c r="B11" s="193" t="s">
        <v>200</v>
      </c>
      <c r="C11" s="194" t="s">
        <v>66</v>
      </c>
      <c r="D11" s="195" t="s">
        <v>67</v>
      </c>
      <c r="E11" s="79"/>
      <c r="F11" s="196" t="s">
        <v>198</v>
      </c>
      <c r="G11" s="197"/>
      <c r="H11" s="197"/>
      <c r="I11" s="197"/>
      <c r="J11" s="198">
        <f>VLOOKUP($D$17,$B$37:$N$44,7)</f>
        <v>736</v>
      </c>
      <c r="K11" s="198">
        <f>VLOOKUP($D$17,$B$37:$N$44,8)</f>
        <v>14</v>
      </c>
      <c r="L11" s="198">
        <f>VLOOKUP($D$17,$B$37:$N$44,9)</f>
        <v>5011735</v>
      </c>
      <c r="M11" s="198">
        <f>VLOOKUP($D$17,$B$37:$N$44,10)</f>
        <v>4911735</v>
      </c>
      <c r="N11" s="199">
        <f>J11/D9-1</f>
        <v>5.1428571428571379E-2</v>
      </c>
      <c r="O11" s="89"/>
      <c r="P11" s="89"/>
      <c r="Q11" s="183"/>
      <c r="R11" s="183"/>
      <c r="S11" s="183"/>
      <c r="T11" s="182"/>
      <c r="U11" s="183"/>
      <c r="V11" s="183"/>
      <c r="W11" s="183"/>
      <c r="X11" s="183"/>
      <c r="Y11" s="183"/>
      <c r="Z11" s="183"/>
      <c r="AD11" s="190"/>
    </row>
    <row r="12" spans="1:30" ht="13.5" thickBot="1" x14ac:dyDescent="0.25">
      <c r="A12" s="78"/>
      <c r="B12" s="200" t="s">
        <v>178</v>
      </c>
      <c r="C12" s="201" t="s">
        <v>68</v>
      </c>
      <c r="D12" s="202" t="s">
        <v>69</v>
      </c>
      <c r="E12" s="79"/>
      <c r="F12" s="84"/>
      <c r="G12" s="84"/>
      <c r="H12" s="191"/>
      <c r="I12" s="191"/>
      <c r="J12" s="107"/>
      <c r="K12" s="107"/>
      <c r="L12" s="107"/>
      <c r="M12" s="107"/>
      <c r="N12" s="192"/>
      <c r="O12" s="89"/>
      <c r="P12" s="89"/>
      <c r="Q12" s="183"/>
      <c r="R12" s="183"/>
      <c r="S12" s="183"/>
      <c r="T12" s="182"/>
      <c r="U12" s="183"/>
      <c r="V12" s="183"/>
      <c r="W12" s="183"/>
      <c r="X12" s="183"/>
      <c r="Y12" s="183"/>
      <c r="Z12" s="183"/>
    </row>
    <row r="13" spans="1:30" ht="13.5" thickBot="1" x14ac:dyDescent="0.25">
      <c r="A13" s="78"/>
      <c r="B13" s="203" t="s">
        <v>179</v>
      </c>
      <c r="C13" s="204" t="s">
        <v>70</v>
      </c>
      <c r="D13" s="205" t="s">
        <v>71</v>
      </c>
      <c r="E13" s="79"/>
      <c r="F13" s="196" t="s">
        <v>199</v>
      </c>
      <c r="G13" s="197"/>
      <c r="H13" s="197"/>
      <c r="I13" s="197"/>
      <c r="J13" s="198">
        <f>VLOOKUP($D$17,$B$37:$N$44,3)</f>
        <v>670</v>
      </c>
      <c r="K13" s="198">
        <f>VLOOKUP($D$17,$B$37:$N$44,4)</f>
        <v>14</v>
      </c>
      <c r="L13" s="198">
        <f>VLOOKUP($D$17,$B$37:$N$44,5)</f>
        <v>5011730</v>
      </c>
      <c r="M13" s="198">
        <f>VLOOKUP($D$17,$B$37:$N$44,6)</f>
        <v>4911730</v>
      </c>
      <c r="N13" s="199">
        <f>J13/D9-1</f>
        <v>-4.2857142857142816E-2</v>
      </c>
      <c r="O13" s="89"/>
      <c r="P13" s="89"/>
      <c r="Q13" s="89"/>
      <c r="R13" s="107"/>
      <c r="S13" s="107"/>
      <c r="T13" s="206"/>
      <c r="U13" s="107"/>
      <c r="V13" s="107"/>
      <c r="W13" s="89"/>
      <c r="X13" s="207"/>
      <c r="Y13" s="89"/>
      <c r="Z13" s="183"/>
    </row>
    <row r="14" spans="1:30" ht="13.5" thickBot="1" x14ac:dyDescent="0.25">
      <c r="A14" s="78"/>
      <c r="B14" s="191"/>
      <c r="C14" s="89"/>
      <c r="D14" s="208"/>
      <c r="E14" s="191"/>
      <c r="F14" s="191"/>
      <c r="G14" s="191"/>
      <c r="H14" s="191"/>
      <c r="I14" s="191"/>
      <c r="J14" s="191"/>
      <c r="K14" s="191"/>
      <c r="L14" s="191"/>
      <c r="M14" s="191"/>
      <c r="N14" s="209"/>
      <c r="O14" s="89"/>
      <c r="P14" s="191"/>
      <c r="Q14" s="89"/>
      <c r="R14" s="208"/>
      <c r="S14" s="191"/>
      <c r="T14" s="210"/>
      <c r="U14" s="89"/>
      <c r="V14" s="107"/>
      <c r="W14" s="89"/>
      <c r="X14" s="89"/>
      <c r="Y14" s="89"/>
      <c r="Z14" s="183"/>
    </row>
    <row r="15" spans="1:30" ht="13.5" thickBot="1" x14ac:dyDescent="0.25">
      <c r="A15" s="78"/>
      <c r="B15" s="84"/>
      <c r="C15" s="84"/>
      <c r="D15" s="84"/>
      <c r="E15" s="208"/>
      <c r="H15" s="608" t="s">
        <v>72</v>
      </c>
      <c r="I15" s="609"/>
      <c r="J15" s="608" t="s">
        <v>174</v>
      </c>
      <c r="K15" s="609"/>
      <c r="L15" s="608" t="s">
        <v>73</v>
      </c>
      <c r="M15" s="609"/>
      <c r="N15" s="192"/>
      <c r="O15" s="89"/>
      <c r="P15" s="191"/>
      <c r="Q15" s="89"/>
      <c r="R15" s="107"/>
      <c r="S15" s="107"/>
      <c r="T15" s="206"/>
      <c r="U15" s="191"/>
      <c r="V15" s="107"/>
      <c r="W15" s="89"/>
      <c r="X15" s="89"/>
      <c r="Y15" s="89"/>
      <c r="Z15" s="183"/>
    </row>
    <row r="16" spans="1:30" ht="13.5" thickBot="1" x14ac:dyDescent="0.25">
      <c r="A16" s="78"/>
      <c r="B16" s="84" t="s">
        <v>170</v>
      </c>
      <c r="C16" s="208"/>
      <c r="D16" s="84"/>
      <c r="E16" s="79"/>
      <c r="H16" s="211" t="s">
        <v>76</v>
      </c>
      <c r="I16" s="212" t="s">
        <v>166</v>
      </c>
      <c r="J16" s="211" t="s">
        <v>76</v>
      </c>
      <c r="K16" s="212" t="s">
        <v>166</v>
      </c>
      <c r="L16" s="211" t="s">
        <v>76</v>
      </c>
      <c r="M16" s="212" t="s">
        <v>166</v>
      </c>
      <c r="N16" s="213"/>
      <c r="O16" s="89"/>
      <c r="P16" s="191"/>
      <c r="Q16" s="610"/>
      <c r="R16" s="610"/>
      <c r="S16" s="610"/>
      <c r="T16" s="611"/>
      <c r="U16" s="191"/>
      <c r="V16" s="610"/>
      <c r="W16" s="610"/>
      <c r="X16" s="610"/>
      <c r="Y16" s="610"/>
      <c r="Z16" s="183"/>
      <c r="AD16" s="191"/>
    </row>
    <row r="17" spans="1:30" ht="13.5" thickBot="1" x14ac:dyDescent="0.25">
      <c r="A17" s="78"/>
      <c r="B17" s="191" t="s">
        <v>164</v>
      </c>
      <c r="C17" s="89"/>
      <c r="D17" s="316">
        <v>15</v>
      </c>
      <c r="E17" s="89"/>
      <c r="H17" s="214">
        <f>VLOOKUP($D$17,$B$37:$N$44,1)</f>
        <v>15</v>
      </c>
      <c r="I17" s="214" t="str">
        <f>VLOOKUP($D$17,$B$37:$N$44,11)</f>
        <v>VAD015F006</v>
      </c>
      <c r="J17" s="214">
        <f>VLOOKUP($D$17,$B$37:$N$44,1)</f>
        <v>15</v>
      </c>
      <c r="K17" s="214" t="str">
        <f>VLOOKUP($D$17,$B$37:$N$44,12)</f>
        <v>VAD015F004</v>
      </c>
      <c r="L17" s="214">
        <f>VLOOKUP($D$17,$B$37:$N$44,1)</f>
        <v>15</v>
      </c>
      <c r="M17" s="214" t="str">
        <f>VLOOKUP($D$17,$B$37:$N$44,13)</f>
        <v>VAD015F001</v>
      </c>
      <c r="N17" s="192"/>
      <c r="O17" s="89"/>
      <c r="P17" s="89"/>
      <c r="Q17" s="183"/>
      <c r="R17" s="183"/>
      <c r="S17" s="622"/>
      <c r="T17" s="623"/>
      <c r="U17" s="89"/>
      <c r="V17" s="183"/>
      <c r="W17" s="183"/>
      <c r="X17" s="622"/>
      <c r="Y17" s="622"/>
      <c r="Z17" s="183"/>
      <c r="AD17" s="191"/>
    </row>
    <row r="18" spans="1:30" ht="13.5" thickBot="1" x14ac:dyDescent="0.25">
      <c r="A18" s="78"/>
      <c r="B18" s="89"/>
      <c r="C18" s="89"/>
      <c r="D18" s="89"/>
      <c r="E18" s="89"/>
      <c r="F18" s="191"/>
      <c r="G18" s="191"/>
      <c r="H18" s="191"/>
      <c r="I18" s="191"/>
      <c r="J18" s="191"/>
      <c r="K18" s="191"/>
      <c r="L18" s="191"/>
      <c r="M18" s="191"/>
      <c r="N18" s="192"/>
      <c r="O18" s="89"/>
      <c r="P18" s="89"/>
      <c r="Q18" s="107"/>
      <c r="R18" s="107"/>
      <c r="S18" s="107"/>
      <c r="T18" s="206"/>
      <c r="U18" s="89"/>
      <c r="V18" s="107"/>
      <c r="W18" s="107"/>
      <c r="X18" s="107"/>
      <c r="Y18" s="107"/>
      <c r="Z18" s="183"/>
    </row>
    <row r="19" spans="1:30" ht="13.5" thickBot="1" x14ac:dyDescent="0.25">
      <c r="A19" s="78"/>
      <c r="B19" s="608" t="s">
        <v>169</v>
      </c>
      <c r="C19" s="609"/>
      <c r="D19" s="191"/>
      <c r="E19" s="191"/>
      <c r="F19" s="191"/>
      <c r="G19" s="191"/>
      <c r="H19" s="191"/>
      <c r="I19" s="191"/>
      <c r="J19" s="191"/>
      <c r="K19" s="191"/>
      <c r="L19" s="191"/>
      <c r="M19" s="191"/>
      <c r="N19" s="192"/>
      <c r="O19" s="89"/>
      <c r="P19" s="191"/>
      <c r="Q19" s="208"/>
      <c r="R19" s="208"/>
      <c r="S19" s="208"/>
      <c r="T19" s="210"/>
      <c r="U19" s="215"/>
      <c r="V19" s="208"/>
      <c r="W19" s="208"/>
      <c r="X19" s="208"/>
      <c r="Y19" s="208"/>
      <c r="Z19" s="183"/>
    </row>
    <row r="20" spans="1:30" x14ac:dyDescent="0.2">
      <c r="A20" s="78"/>
      <c r="B20" s="216" t="s">
        <v>74</v>
      </c>
      <c r="C20" s="217" t="s">
        <v>172</v>
      </c>
      <c r="D20" s="191"/>
      <c r="E20" s="191"/>
      <c r="F20" s="191"/>
      <c r="G20" s="191"/>
      <c r="H20" s="191"/>
      <c r="I20" s="191"/>
      <c r="J20" s="191"/>
      <c r="K20" s="191"/>
      <c r="L20" s="191"/>
      <c r="M20" s="191"/>
      <c r="N20" s="192"/>
      <c r="O20" s="89"/>
      <c r="P20" s="191"/>
      <c r="Q20" s="208"/>
      <c r="R20" s="208"/>
      <c r="S20" s="208"/>
      <c r="T20" s="210"/>
      <c r="U20" s="215"/>
      <c r="V20" s="208"/>
      <c r="W20" s="208"/>
      <c r="X20" s="208"/>
      <c r="Y20" s="208"/>
      <c r="Z20" s="183"/>
    </row>
    <row r="21" spans="1:30" x14ac:dyDescent="0.2">
      <c r="A21" s="78"/>
      <c r="B21" s="218" t="s">
        <v>75</v>
      </c>
      <c r="C21" s="219" t="s">
        <v>173</v>
      </c>
      <c r="D21" s="191"/>
      <c r="E21" s="191"/>
      <c r="F21" s="191"/>
      <c r="G21" s="191"/>
      <c r="H21" s="191"/>
      <c r="I21" s="191"/>
      <c r="J21" s="191"/>
      <c r="K21" s="191"/>
      <c r="L21" s="191"/>
      <c r="M21" s="191"/>
      <c r="N21" s="192"/>
      <c r="O21" s="89"/>
      <c r="P21" s="191"/>
      <c r="Q21" s="208"/>
      <c r="R21" s="208"/>
      <c r="S21" s="208"/>
      <c r="T21" s="210"/>
      <c r="U21" s="215"/>
      <c r="V21" s="208"/>
      <c r="W21" s="208"/>
      <c r="X21" s="208"/>
      <c r="Y21" s="208"/>
      <c r="Z21" s="183"/>
    </row>
    <row r="22" spans="1:30" ht="13.5" thickBot="1" x14ac:dyDescent="0.25">
      <c r="A22" s="78"/>
      <c r="B22" s="220" t="s">
        <v>76</v>
      </c>
      <c r="C22" s="221" t="s">
        <v>62</v>
      </c>
      <c r="D22" s="191"/>
      <c r="E22" s="191"/>
      <c r="F22" s="191"/>
      <c r="G22" s="191"/>
      <c r="H22" s="191"/>
      <c r="I22" s="191"/>
      <c r="J22" s="191"/>
      <c r="K22" s="191"/>
      <c r="L22" s="191"/>
      <c r="M22" s="191"/>
      <c r="N22" s="192"/>
      <c r="O22" s="89"/>
      <c r="P22" s="191"/>
      <c r="Q22" s="208"/>
      <c r="R22" s="208"/>
      <c r="S22" s="208"/>
      <c r="T22" s="210"/>
      <c r="U22" s="215"/>
      <c r="V22" s="208"/>
      <c r="W22" s="208"/>
      <c r="X22" s="208"/>
      <c r="Y22" s="208"/>
      <c r="Z22" s="183"/>
    </row>
    <row r="23" spans="1:30" x14ac:dyDescent="0.2">
      <c r="A23" s="78"/>
      <c r="B23" s="222">
        <v>15</v>
      </c>
      <c r="C23" s="223" t="s">
        <v>77</v>
      </c>
      <c r="D23" s="191"/>
      <c r="E23" s="191"/>
      <c r="F23" s="191"/>
      <c r="G23" s="191"/>
      <c r="H23" s="191"/>
      <c r="I23" s="191"/>
      <c r="J23" s="191"/>
      <c r="K23" s="191"/>
      <c r="L23" s="191"/>
      <c r="M23" s="191"/>
      <c r="N23" s="192"/>
      <c r="O23" s="89"/>
      <c r="P23" s="191"/>
      <c r="Q23" s="208"/>
      <c r="R23" s="208"/>
      <c r="S23" s="208"/>
      <c r="T23" s="210"/>
      <c r="U23" s="215"/>
      <c r="V23" s="208"/>
      <c r="W23" s="208"/>
      <c r="X23" s="208"/>
      <c r="Y23" s="208"/>
      <c r="Z23" s="183"/>
    </row>
    <row r="24" spans="1:30" x14ac:dyDescent="0.2">
      <c r="A24" s="78"/>
      <c r="B24" s="224">
        <v>20</v>
      </c>
      <c r="C24" s="202" t="s">
        <v>77</v>
      </c>
      <c r="D24" s="191"/>
      <c r="E24" s="191"/>
      <c r="F24" s="191"/>
      <c r="G24" s="191"/>
      <c r="H24" s="191"/>
      <c r="I24" s="191"/>
      <c r="J24" s="191"/>
      <c r="K24" s="191"/>
      <c r="L24" s="191"/>
      <c r="M24" s="191"/>
      <c r="N24" s="192"/>
      <c r="O24" s="89"/>
      <c r="P24" s="191"/>
      <c r="Q24" s="208"/>
      <c r="R24" s="208"/>
      <c r="S24" s="208"/>
      <c r="T24" s="210"/>
      <c r="U24" s="215"/>
      <c r="V24" s="208"/>
      <c r="W24" s="208"/>
      <c r="X24" s="208"/>
      <c r="Y24" s="208"/>
      <c r="Z24" s="183"/>
    </row>
    <row r="25" spans="1:30" x14ac:dyDescent="0.2">
      <c r="A25" s="78"/>
      <c r="B25" s="225">
        <v>25</v>
      </c>
      <c r="C25" s="226" t="s">
        <v>77</v>
      </c>
      <c r="D25" s="191"/>
      <c r="E25" s="191"/>
      <c r="F25" s="191"/>
      <c r="G25" s="191"/>
      <c r="H25" s="191"/>
      <c r="I25" s="191"/>
      <c r="J25" s="191"/>
      <c r="K25" s="191"/>
      <c r="L25" s="191"/>
      <c r="M25" s="191"/>
      <c r="N25" s="192"/>
      <c r="O25" s="89"/>
      <c r="P25" s="191"/>
      <c r="Q25" s="208"/>
      <c r="R25" s="208"/>
      <c r="S25" s="208"/>
      <c r="T25" s="210"/>
      <c r="U25" s="215"/>
      <c r="V25" s="208"/>
      <c r="W25" s="208"/>
      <c r="X25" s="208"/>
      <c r="Y25" s="208"/>
      <c r="Z25" s="183"/>
    </row>
    <row r="26" spans="1:30" x14ac:dyDescent="0.2">
      <c r="A26" s="78"/>
      <c r="B26" s="227"/>
      <c r="C26" s="228"/>
      <c r="D26" s="191"/>
      <c r="E26" s="191"/>
      <c r="F26" s="191"/>
      <c r="G26" s="191"/>
      <c r="H26" s="191"/>
      <c r="I26" s="191"/>
      <c r="J26" s="191"/>
      <c r="K26" s="191"/>
      <c r="L26" s="191"/>
      <c r="M26" s="191"/>
      <c r="N26" s="192"/>
      <c r="O26" s="89"/>
      <c r="P26" s="191"/>
      <c r="Q26" s="208"/>
      <c r="R26" s="208"/>
      <c r="S26" s="208"/>
      <c r="T26" s="210"/>
      <c r="U26" s="215"/>
      <c r="V26" s="208"/>
      <c r="W26" s="208"/>
      <c r="X26" s="208"/>
      <c r="Y26" s="208"/>
      <c r="Z26" s="183"/>
    </row>
    <row r="27" spans="1:30" x14ac:dyDescent="0.2">
      <c r="A27" s="78"/>
      <c r="B27" s="225" t="s">
        <v>78</v>
      </c>
      <c r="C27" s="229" t="s">
        <v>79</v>
      </c>
      <c r="D27" s="191"/>
      <c r="E27" s="191"/>
      <c r="F27" s="191"/>
      <c r="G27" s="191"/>
      <c r="H27" s="191"/>
      <c r="I27" s="191"/>
      <c r="J27" s="191"/>
      <c r="K27" s="191"/>
      <c r="L27" s="191"/>
      <c r="M27" s="191"/>
      <c r="N27" s="192"/>
      <c r="O27" s="89"/>
      <c r="P27" s="191"/>
      <c r="Q27" s="208"/>
      <c r="R27" s="208"/>
      <c r="S27" s="208"/>
      <c r="T27" s="210"/>
      <c r="U27" s="215"/>
      <c r="V27" s="208"/>
      <c r="W27" s="208"/>
      <c r="X27" s="208"/>
      <c r="Y27" s="208"/>
      <c r="Z27" s="183"/>
    </row>
    <row r="28" spans="1:30" x14ac:dyDescent="0.2">
      <c r="A28" s="78"/>
      <c r="B28" s="227">
        <v>32</v>
      </c>
      <c r="C28" s="228" t="s">
        <v>79</v>
      </c>
      <c r="D28" s="191"/>
      <c r="E28" s="191"/>
      <c r="F28" s="191"/>
      <c r="G28" s="191"/>
      <c r="H28" s="191"/>
      <c r="I28" s="191"/>
      <c r="J28" s="191"/>
      <c r="K28" s="191"/>
      <c r="L28" s="191"/>
      <c r="M28" s="191"/>
      <c r="N28" s="192"/>
      <c r="O28" s="89"/>
      <c r="P28" s="191"/>
      <c r="Q28" s="208"/>
      <c r="R28" s="208"/>
      <c r="S28" s="208"/>
      <c r="T28" s="210"/>
      <c r="U28" s="215"/>
      <c r="V28" s="208"/>
      <c r="W28" s="208"/>
      <c r="X28" s="208"/>
      <c r="Y28" s="208"/>
      <c r="Z28" s="183"/>
    </row>
    <row r="29" spans="1:30" x14ac:dyDescent="0.2">
      <c r="A29" s="78"/>
      <c r="B29" s="225">
        <v>40</v>
      </c>
      <c r="C29" s="229" t="s">
        <v>79</v>
      </c>
      <c r="D29" s="191"/>
      <c r="E29" s="191"/>
      <c r="F29" s="191"/>
      <c r="G29" s="191"/>
      <c r="H29" s="191"/>
      <c r="I29" s="191"/>
      <c r="J29" s="191"/>
      <c r="K29" s="191"/>
      <c r="L29" s="191"/>
      <c r="M29" s="191"/>
      <c r="N29" s="192"/>
      <c r="O29" s="89"/>
      <c r="P29" s="191"/>
      <c r="Q29" s="208"/>
      <c r="R29" s="208"/>
      <c r="S29" s="208"/>
      <c r="T29" s="210"/>
      <c r="U29" s="215"/>
      <c r="V29" s="208"/>
      <c r="W29" s="208"/>
      <c r="X29" s="208"/>
      <c r="Y29" s="208"/>
      <c r="Z29" s="183"/>
    </row>
    <row r="30" spans="1:30" ht="13.5" thickBot="1" x14ac:dyDescent="0.25">
      <c r="A30" s="78"/>
      <c r="B30" s="230">
        <v>50</v>
      </c>
      <c r="C30" s="205" t="s">
        <v>79</v>
      </c>
      <c r="D30" s="191"/>
      <c r="E30" s="191"/>
      <c r="F30" s="191"/>
      <c r="G30" s="191"/>
      <c r="H30" s="191"/>
      <c r="I30" s="191"/>
      <c r="J30" s="191"/>
      <c r="K30" s="191"/>
      <c r="L30" s="191"/>
      <c r="M30" s="191"/>
      <c r="N30" s="192"/>
      <c r="O30" s="89"/>
      <c r="P30" s="191"/>
      <c r="Q30" s="208"/>
      <c r="R30" s="208"/>
      <c r="S30" s="208"/>
      <c r="T30" s="210"/>
      <c r="U30" s="215"/>
      <c r="V30" s="208"/>
      <c r="W30" s="208"/>
      <c r="X30" s="208"/>
      <c r="Y30" s="208"/>
      <c r="Z30" s="183"/>
    </row>
    <row r="31" spans="1:30" x14ac:dyDescent="0.2">
      <c r="A31" s="78"/>
      <c r="B31" s="191"/>
      <c r="C31" s="191"/>
      <c r="D31" s="191"/>
      <c r="E31" s="191"/>
      <c r="F31" s="191"/>
      <c r="G31" s="191"/>
      <c r="H31" s="191"/>
      <c r="I31" s="191"/>
      <c r="J31" s="191"/>
      <c r="K31" s="191"/>
      <c r="L31" s="191"/>
      <c r="M31" s="191"/>
      <c r="N31" s="192"/>
      <c r="O31" s="89"/>
      <c r="P31" s="191"/>
      <c r="Q31" s="208"/>
      <c r="R31" s="208"/>
      <c r="S31" s="208"/>
      <c r="T31" s="210"/>
      <c r="U31" s="215"/>
      <c r="V31" s="208"/>
      <c r="W31" s="208"/>
      <c r="X31" s="208"/>
      <c r="Y31" s="208"/>
      <c r="Z31" s="183"/>
    </row>
    <row r="32" spans="1:30" ht="13.5" thickBot="1" x14ac:dyDescent="0.25">
      <c r="A32" s="231"/>
      <c r="B32" s="232"/>
      <c r="C32" s="232"/>
      <c r="D32" s="232"/>
      <c r="E32" s="232"/>
      <c r="F32" s="232"/>
      <c r="G32" s="232"/>
      <c r="H32" s="232"/>
      <c r="I32" s="232"/>
      <c r="J32" s="232"/>
      <c r="K32" s="232"/>
      <c r="L32" s="232"/>
      <c r="M32" s="232"/>
      <c r="N32" s="233"/>
      <c r="O32" s="89"/>
      <c r="P32" s="191"/>
      <c r="Q32" s="234"/>
      <c r="R32" s="208"/>
      <c r="S32" s="208"/>
      <c r="T32" s="210"/>
      <c r="U32" s="215"/>
      <c r="V32" s="208"/>
      <c r="W32" s="208"/>
      <c r="X32" s="208"/>
      <c r="Y32" s="208"/>
      <c r="Z32" s="183"/>
    </row>
    <row r="33" spans="1:26" ht="14.25" hidden="1" thickTop="1" thickBot="1" x14ac:dyDescent="0.25">
      <c r="A33" s="235"/>
      <c r="B33" s="624" t="s">
        <v>80</v>
      </c>
      <c r="C33" s="625"/>
      <c r="D33" s="626" t="s">
        <v>81</v>
      </c>
      <c r="E33" s="627"/>
      <c r="F33" s="627"/>
      <c r="G33" s="628"/>
      <c r="H33" s="626" t="s">
        <v>82</v>
      </c>
      <c r="I33" s="627"/>
      <c r="J33" s="627"/>
      <c r="K33" s="628"/>
      <c r="L33" s="629" t="s">
        <v>83</v>
      </c>
      <c r="M33" s="630"/>
      <c r="N33" s="631"/>
      <c r="O33" s="89"/>
      <c r="P33" s="191"/>
      <c r="Q33" s="208"/>
      <c r="R33" s="208"/>
      <c r="S33" s="208"/>
      <c r="T33" s="210"/>
      <c r="U33" s="215"/>
      <c r="V33" s="208"/>
      <c r="W33" s="89"/>
      <c r="X33" s="89"/>
      <c r="Y33" s="89"/>
      <c r="Z33" s="183"/>
    </row>
    <row r="34" spans="1:26" hidden="1" x14ac:dyDescent="0.2">
      <c r="A34" s="235"/>
      <c r="B34" s="218" t="s">
        <v>84</v>
      </c>
      <c r="C34" s="236" t="s">
        <v>85</v>
      </c>
      <c r="D34" s="237" t="s">
        <v>85</v>
      </c>
      <c r="E34" s="238" t="s">
        <v>60</v>
      </c>
      <c r="F34" s="239" t="s">
        <v>86</v>
      </c>
      <c r="G34" s="240" t="s">
        <v>86</v>
      </c>
      <c r="H34" s="237" t="s">
        <v>85</v>
      </c>
      <c r="I34" s="238" t="s">
        <v>60</v>
      </c>
      <c r="J34" s="239" t="s">
        <v>86</v>
      </c>
      <c r="K34" s="240" t="s">
        <v>86</v>
      </c>
      <c r="L34" s="241" t="s">
        <v>86</v>
      </c>
      <c r="M34" s="242" t="s">
        <v>86</v>
      </c>
      <c r="N34" s="243" t="s">
        <v>86</v>
      </c>
      <c r="O34" s="89"/>
      <c r="P34" s="191"/>
      <c r="Q34" s="208"/>
      <c r="R34" s="208"/>
      <c r="S34" s="208"/>
      <c r="T34" s="210"/>
      <c r="U34" s="215"/>
      <c r="V34" s="208"/>
      <c r="W34" s="89"/>
      <c r="X34" s="89"/>
      <c r="Y34" s="89"/>
      <c r="Z34" s="183"/>
    </row>
    <row r="35" spans="1:26" hidden="1" x14ac:dyDescent="0.2">
      <c r="A35" s="244"/>
      <c r="B35" s="224" t="s">
        <v>75</v>
      </c>
      <c r="C35" s="228" t="s">
        <v>87</v>
      </c>
      <c r="D35" s="245" t="s">
        <v>88</v>
      </c>
      <c r="E35" s="246"/>
      <c r="F35" s="247" t="s">
        <v>89</v>
      </c>
      <c r="G35" s="248" t="s">
        <v>90</v>
      </c>
      <c r="H35" s="245" t="s">
        <v>88</v>
      </c>
      <c r="I35" s="246"/>
      <c r="J35" s="247" t="s">
        <v>89</v>
      </c>
      <c r="K35" s="248" t="s">
        <v>90</v>
      </c>
      <c r="L35" s="249" t="s">
        <v>91</v>
      </c>
      <c r="M35" s="250" t="s">
        <v>92</v>
      </c>
      <c r="N35" s="251" t="s">
        <v>93</v>
      </c>
      <c r="O35" s="89"/>
      <c r="P35" s="79"/>
      <c r="Q35" s="173"/>
      <c r="R35" s="173"/>
      <c r="S35" s="173"/>
      <c r="T35" s="172"/>
      <c r="U35" s="79"/>
      <c r="V35" s="173"/>
      <c r="W35" s="173"/>
      <c r="X35" s="173"/>
      <c r="Y35" s="79"/>
      <c r="Z35" s="79"/>
    </row>
    <row r="36" spans="1:26" ht="13.5" hidden="1" thickBot="1" x14ac:dyDescent="0.25">
      <c r="A36" s="244"/>
      <c r="B36" s="220" t="s">
        <v>76</v>
      </c>
      <c r="C36" s="221" t="s">
        <v>94</v>
      </c>
      <c r="D36" s="252" t="s">
        <v>94</v>
      </c>
      <c r="E36" s="253" t="s">
        <v>63</v>
      </c>
      <c r="F36" s="254" t="s">
        <v>95</v>
      </c>
      <c r="G36" s="255" t="s">
        <v>96</v>
      </c>
      <c r="H36" s="252" t="s">
        <v>94</v>
      </c>
      <c r="I36" s="253" t="s">
        <v>63</v>
      </c>
      <c r="J36" s="254" t="s">
        <v>95</v>
      </c>
      <c r="K36" s="255" t="s">
        <v>96</v>
      </c>
      <c r="L36" s="256" t="s">
        <v>97</v>
      </c>
      <c r="M36" s="257" t="s">
        <v>97</v>
      </c>
      <c r="N36" s="258" t="s">
        <v>97</v>
      </c>
      <c r="O36" s="89"/>
      <c r="P36" s="79"/>
      <c r="Q36" s="173"/>
      <c r="R36" s="173"/>
      <c r="S36" s="173"/>
      <c r="T36" s="182"/>
      <c r="U36" s="183"/>
      <c r="V36" s="173"/>
      <c r="W36" s="173"/>
      <c r="X36" s="173"/>
      <c r="Y36" s="183"/>
      <c r="Z36" s="183"/>
    </row>
    <row r="37" spans="1:26" hidden="1" x14ac:dyDescent="0.2">
      <c r="A37" s="235"/>
      <c r="B37" s="259">
        <v>15</v>
      </c>
      <c r="C37" s="260" t="s">
        <v>77</v>
      </c>
      <c r="D37" s="237">
        <f>VLOOKUP($D$9,$B$51:$I$94,1)</f>
        <v>670</v>
      </c>
      <c r="E37" s="246">
        <f>VLOOKUP($D$9,$B$51:$I$94,2)</f>
        <v>14</v>
      </c>
      <c r="F37" s="239">
        <f>VLOOKUP($D$9,$B$51:$I$94,3)</f>
        <v>5011730</v>
      </c>
      <c r="G37" s="240">
        <f>VLOOKUP($D$9,$B$51:$I$94,4)</f>
        <v>4911730</v>
      </c>
      <c r="H37" s="237">
        <f>VLOOKUP($D$9,$B$51:$I$94,5)</f>
        <v>736</v>
      </c>
      <c r="I37" s="238">
        <f>VLOOKUP($D$9,$B$51:$I$94,6)</f>
        <v>14</v>
      </c>
      <c r="J37" s="239">
        <f>VLOOKUP($D$9,$B$51:$I$94,7)</f>
        <v>5011735</v>
      </c>
      <c r="K37" s="240">
        <f>VLOOKUP($D$9,$B$51:$I$94,8)</f>
        <v>4911735</v>
      </c>
      <c r="L37" s="241" t="s">
        <v>195</v>
      </c>
      <c r="M37" s="242" t="s">
        <v>196</v>
      </c>
      <c r="N37" s="243" t="s">
        <v>197</v>
      </c>
      <c r="O37" s="89"/>
      <c r="P37" s="79"/>
      <c r="Q37" s="173"/>
      <c r="R37" s="173"/>
      <c r="S37" s="173"/>
      <c r="T37" s="182"/>
      <c r="U37" s="183"/>
      <c r="V37" s="173"/>
      <c r="W37" s="173"/>
      <c r="X37" s="173"/>
      <c r="Y37" s="183"/>
      <c r="Z37" s="183"/>
    </row>
    <row r="38" spans="1:26" hidden="1" x14ac:dyDescent="0.2">
      <c r="A38" s="235"/>
      <c r="B38" s="224">
        <v>20</v>
      </c>
      <c r="C38" s="202" t="s">
        <v>77</v>
      </c>
      <c r="D38" s="237">
        <f>VLOOKUP($D$9,$B$51:$I$94,1)</f>
        <v>670</v>
      </c>
      <c r="E38" s="246">
        <f>VLOOKUP($D$9,$B$51:$I$94,2)</f>
        <v>14</v>
      </c>
      <c r="F38" s="239">
        <f>VLOOKUP($D$9,$B$51:$I$94,3)</f>
        <v>5011730</v>
      </c>
      <c r="G38" s="240">
        <f>VLOOKUP($D$9,$B$51:$I$94,4)</f>
        <v>4911730</v>
      </c>
      <c r="H38" s="237">
        <f>VLOOKUP($D$9,$B$51:$I$94,5)</f>
        <v>736</v>
      </c>
      <c r="I38" s="238">
        <f>VLOOKUP($D$9,$B$51:$I$94,6)</f>
        <v>14</v>
      </c>
      <c r="J38" s="239">
        <f>VLOOKUP($D$9,$B$51:$I$94,7)</f>
        <v>5011735</v>
      </c>
      <c r="K38" s="240">
        <f>VLOOKUP($D$9,$B$51:$I$94,8)</f>
        <v>4911735</v>
      </c>
      <c r="L38" s="249" t="s">
        <v>192</v>
      </c>
      <c r="M38" s="261" t="s">
        <v>193</v>
      </c>
      <c r="N38" s="251" t="s">
        <v>194</v>
      </c>
      <c r="O38" s="89"/>
      <c r="P38" s="79"/>
      <c r="Q38" s="79"/>
      <c r="R38" s="79"/>
      <c r="S38" s="79"/>
      <c r="T38" s="172"/>
      <c r="U38" s="79"/>
      <c r="V38" s="173"/>
      <c r="W38" s="173"/>
      <c r="X38" s="173"/>
      <c r="Y38" s="183"/>
      <c r="Z38" s="183"/>
    </row>
    <row r="39" spans="1:26" hidden="1" x14ac:dyDescent="0.2">
      <c r="A39" s="244"/>
      <c r="B39" s="262">
        <v>25</v>
      </c>
      <c r="C39" s="263" t="s">
        <v>77</v>
      </c>
      <c r="D39" s="237">
        <f>VLOOKUP($D$9,$B$51:$I$94,1)</f>
        <v>670</v>
      </c>
      <c r="E39" s="246">
        <f>VLOOKUP($D$9,$B$51:$I$94,2)</f>
        <v>14</v>
      </c>
      <c r="F39" s="239">
        <f>VLOOKUP($D$9,$B$51:$I$94,3)</f>
        <v>5011730</v>
      </c>
      <c r="G39" s="240">
        <f>VLOOKUP($D$9,$B$51:$I$94,4)</f>
        <v>4911730</v>
      </c>
      <c r="H39" s="237">
        <f>VLOOKUP($D$9,$B$51:$I$94,5)</f>
        <v>736</v>
      </c>
      <c r="I39" s="238">
        <f>VLOOKUP($D$9,$B$51:$I$94,6)</f>
        <v>14</v>
      </c>
      <c r="J39" s="239">
        <f>VLOOKUP($D$9,$B$51:$I$94,7)</f>
        <v>5011735</v>
      </c>
      <c r="K39" s="240">
        <f>VLOOKUP($D$9,$B$51:$I$94,8)</f>
        <v>4911735</v>
      </c>
      <c r="L39" s="249" t="s">
        <v>189</v>
      </c>
      <c r="M39" s="261" t="s">
        <v>190</v>
      </c>
      <c r="N39" s="251" t="s">
        <v>191</v>
      </c>
      <c r="O39" s="89"/>
      <c r="P39" s="79"/>
      <c r="Q39" s="79"/>
      <c r="R39" s="79"/>
      <c r="S39" s="79"/>
      <c r="T39" s="172"/>
      <c r="U39" s="79"/>
      <c r="V39" s="79"/>
      <c r="W39" s="79"/>
      <c r="X39" s="79"/>
      <c r="Y39" s="79"/>
      <c r="Z39" s="79"/>
    </row>
    <row r="40" spans="1:26" hidden="1" x14ac:dyDescent="0.2">
      <c r="A40" s="244"/>
      <c r="B40" s="227"/>
      <c r="C40" s="228"/>
      <c r="D40" s="264"/>
      <c r="E40" s="265"/>
      <c r="F40" s="266"/>
      <c r="G40" s="267"/>
      <c r="H40" s="264"/>
      <c r="I40" s="265"/>
      <c r="J40" s="268"/>
      <c r="K40" s="267"/>
      <c r="L40" s="249"/>
      <c r="M40" s="261"/>
      <c r="N40" s="251"/>
      <c r="O40" s="89"/>
      <c r="P40" s="79"/>
      <c r="Q40" s="79"/>
      <c r="R40" s="269"/>
      <c r="S40" s="79"/>
      <c r="T40" s="172"/>
      <c r="U40" s="79"/>
      <c r="V40" s="79"/>
      <c r="W40" s="79"/>
      <c r="X40" s="79"/>
      <c r="Y40" s="79"/>
      <c r="Z40" s="176"/>
    </row>
    <row r="41" spans="1:26" hidden="1" x14ac:dyDescent="0.2">
      <c r="A41" s="244"/>
      <c r="B41" s="262" t="s">
        <v>78</v>
      </c>
      <c r="C41" s="270" t="s">
        <v>79</v>
      </c>
      <c r="D41" s="245">
        <f>VLOOKUP($D$9,$J$51:$Q$94,1)</f>
        <v>674</v>
      </c>
      <c r="E41" s="246">
        <f>VLOOKUP($D$9,$J$51:$Q$94,2)</f>
        <v>12</v>
      </c>
      <c r="F41" s="247">
        <f>VLOOKUP($D$9,$J$51:$Q$94,3)</f>
        <v>5033073</v>
      </c>
      <c r="G41" s="248">
        <f>VLOOKUP($D$9,$J$51:$Q$94,4)</f>
        <v>4933073</v>
      </c>
      <c r="H41" s="245">
        <f>VLOOKUP($D$9,$J$51:$Q$94,5)</f>
        <v>861</v>
      </c>
      <c r="I41" s="246">
        <f>VLOOKUP($D$9,$J$51:$Q$94,6)</f>
        <v>12</v>
      </c>
      <c r="J41" s="247">
        <f>VLOOKUP(I40,$J$51:$Q$94,7)</f>
        <v>5033073</v>
      </c>
      <c r="K41" s="248">
        <f>VLOOKUP($D$9,$J$51:$Q$94,8)</f>
        <v>4933082</v>
      </c>
      <c r="L41" s="249" t="s">
        <v>186</v>
      </c>
      <c r="M41" s="261" t="s">
        <v>187</v>
      </c>
      <c r="N41" s="251" t="s">
        <v>188</v>
      </c>
      <c r="O41" s="89"/>
      <c r="P41" s="79"/>
      <c r="Q41" s="79"/>
      <c r="R41" s="79"/>
      <c r="S41" s="79"/>
      <c r="T41" s="172"/>
      <c r="U41" s="79"/>
      <c r="V41" s="79"/>
      <c r="W41" s="79"/>
      <c r="X41" s="79"/>
      <c r="Y41" s="79"/>
      <c r="Z41" s="79"/>
    </row>
    <row r="42" spans="1:26" hidden="1" x14ac:dyDescent="0.2">
      <c r="A42" s="271"/>
      <c r="B42" s="227">
        <v>32</v>
      </c>
      <c r="C42" s="228" t="s">
        <v>79</v>
      </c>
      <c r="D42" s="245">
        <f>VLOOKUP($D$9,$J$51:$Q$94,1)</f>
        <v>674</v>
      </c>
      <c r="E42" s="246">
        <f>VLOOKUP($D$9,$J$51:$Q$94,2)</f>
        <v>12</v>
      </c>
      <c r="F42" s="247">
        <f>VLOOKUP($D$9,$J$51:$Q$94,3)</f>
        <v>5033073</v>
      </c>
      <c r="G42" s="248">
        <f>VLOOKUP($D$9,$J$51:$Q$94,4)</f>
        <v>4933073</v>
      </c>
      <c r="H42" s="245">
        <f>VLOOKUP($D$9,$J$51:$Q$94,5)</f>
        <v>861</v>
      </c>
      <c r="I42" s="246">
        <f>VLOOKUP($D$9,$J$51:$Q$94,6)</f>
        <v>12</v>
      </c>
      <c r="J42" s="247">
        <f>VLOOKUP($D$9,$J$51:$Q$94,7)</f>
        <v>5033082</v>
      </c>
      <c r="K42" s="248">
        <f>VLOOKUP($D$9,$J$51:$Q$94,8)</f>
        <v>4933082</v>
      </c>
      <c r="L42" s="249" t="s">
        <v>177</v>
      </c>
      <c r="M42" s="261" t="s">
        <v>176</v>
      </c>
      <c r="N42" s="251" t="s">
        <v>175</v>
      </c>
      <c r="O42" s="89"/>
      <c r="P42" s="79"/>
      <c r="Q42" s="79"/>
      <c r="R42" s="269"/>
      <c r="S42" s="79"/>
      <c r="T42" s="172"/>
      <c r="U42" s="79"/>
      <c r="V42" s="79"/>
      <c r="W42" s="79"/>
      <c r="X42" s="79"/>
      <c r="Y42" s="79"/>
      <c r="Z42" s="79"/>
    </row>
    <row r="43" spans="1:26" hidden="1" x14ac:dyDescent="0.2">
      <c r="A43" s="271"/>
      <c r="B43" s="262">
        <v>40</v>
      </c>
      <c r="C43" s="270" t="s">
        <v>79</v>
      </c>
      <c r="D43" s="245">
        <f>VLOOKUP($D$9,$J$51:$Q$94,1)</f>
        <v>674</v>
      </c>
      <c r="E43" s="246">
        <f>VLOOKUP($D$9,$J$51:$Q$94,2)</f>
        <v>12</v>
      </c>
      <c r="F43" s="247">
        <f>VLOOKUP($D$9,$J$51:$Q$94,3)</f>
        <v>5033073</v>
      </c>
      <c r="G43" s="248">
        <f>VLOOKUP($D$9,$J$51:$Q$94,4)</f>
        <v>4933073</v>
      </c>
      <c r="H43" s="245">
        <f>VLOOKUP($D$9,$J$51:$Q$94,5)</f>
        <v>861</v>
      </c>
      <c r="I43" s="246">
        <f>VLOOKUP($D$9,$J$51:$Q$94,6)</f>
        <v>12</v>
      </c>
      <c r="J43" s="247">
        <f>VLOOKUP($D$9,$J$51:$Q$94,7)</f>
        <v>5033082</v>
      </c>
      <c r="K43" s="248">
        <f>VLOOKUP($D$9,$J$51:$Q$94,8)</f>
        <v>4933082</v>
      </c>
      <c r="L43" s="249" t="s">
        <v>182</v>
      </c>
      <c r="M43" s="261" t="s">
        <v>181</v>
      </c>
      <c r="N43" s="251" t="s">
        <v>180</v>
      </c>
      <c r="O43" s="89"/>
      <c r="P43" s="79"/>
      <c r="Q43" s="79"/>
      <c r="R43" s="79"/>
      <c r="S43" s="79"/>
      <c r="T43" s="172"/>
      <c r="U43" s="79"/>
      <c r="V43" s="79"/>
      <c r="W43" s="79"/>
      <c r="X43" s="79"/>
      <c r="Y43" s="79"/>
      <c r="Z43" s="79"/>
    </row>
    <row r="44" spans="1:26" ht="13.5" hidden="1" thickBot="1" x14ac:dyDescent="0.25">
      <c r="A44" s="272"/>
      <c r="B44" s="230">
        <v>50</v>
      </c>
      <c r="C44" s="205" t="s">
        <v>79</v>
      </c>
      <c r="D44" s="252">
        <f>VLOOKUP($D$9,$J$51:$Q$94,1)</f>
        <v>674</v>
      </c>
      <c r="E44" s="253">
        <f>VLOOKUP($D$9,$J$51:$Q$94,2)</f>
        <v>12</v>
      </c>
      <c r="F44" s="254">
        <f>VLOOKUP($D$9,$J$51:$Q$94,3)</f>
        <v>5033073</v>
      </c>
      <c r="G44" s="255">
        <f>VLOOKUP($D$9,$J$51:$Q$94,4)</f>
        <v>4933073</v>
      </c>
      <c r="H44" s="252">
        <f>VLOOKUP($D$9,$J$51:$Q$94,5)</f>
        <v>861</v>
      </c>
      <c r="I44" s="253">
        <f>VLOOKUP($D$9,$J$51:$Q$94,6)</f>
        <v>12</v>
      </c>
      <c r="J44" s="254">
        <f>VLOOKUP($D$9,$J$51:$Q$94,7)</f>
        <v>5033082</v>
      </c>
      <c r="K44" s="255">
        <f>VLOOKUP($D$9,$J$51:$Q$94,8)</f>
        <v>4933082</v>
      </c>
      <c r="L44" s="273" t="s">
        <v>183</v>
      </c>
      <c r="M44" s="257" t="s">
        <v>184</v>
      </c>
      <c r="N44" s="274" t="s">
        <v>185</v>
      </c>
      <c r="O44" s="275"/>
      <c r="P44" s="276"/>
      <c r="Q44" s="276"/>
      <c r="R44" s="276"/>
      <c r="S44" s="276"/>
      <c r="T44" s="277"/>
      <c r="U44" s="79"/>
      <c r="V44" s="79"/>
      <c r="W44" s="79"/>
      <c r="X44" s="79"/>
      <c r="Y44" s="79"/>
      <c r="Z44" s="79"/>
    </row>
    <row r="45" spans="1:26" hidden="1" x14ac:dyDescent="0.2">
      <c r="A45" s="271"/>
      <c r="B45" s="278"/>
      <c r="C45" s="278"/>
      <c r="D45" s="278"/>
      <c r="E45" s="278"/>
      <c r="F45" s="278"/>
      <c r="G45" s="278"/>
      <c r="H45" s="278"/>
      <c r="I45" s="278"/>
      <c r="J45" s="278"/>
      <c r="K45" s="278"/>
      <c r="L45" s="278"/>
      <c r="M45" s="278"/>
      <c r="N45" s="278"/>
      <c r="O45" s="89"/>
      <c r="P45" s="79"/>
      <c r="Q45" s="79"/>
      <c r="R45" s="176"/>
      <c r="S45" s="79"/>
      <c r="T45" s="172"/>
      <c r="U45" s="79"/>
      <c r="V45" s="79"/>
      <c r="W45" s="79"/>
      <c r="X45" s="79"/>
      <c r="Y45" s="79"/>
      <c r="Z45" s="79"/>
    </row>
    <row r="46" spans="1:26" ht="13.5" hidden="1" thickBot="1" x14ac:dyDescent="0.25">
      <c r="A46" s="271"/>
      <c r="B46" s="208"/>
      <c r="C46" s="107"/>
      <c r="D46" s="208"/>
      <c r="E46" s="191"/>
      <c r="F46" s="191"/>
      <c r="G46" s="191"/>
      <c r="H46" s="191"/>
      <c r="I46" s="208"/>
      <c r="J46" s="191"/>
      <c r="K46" s="191"/>
      <c r="L46" s="89"/>
      <c r="M46" s="89"/>
      <c r="N46" s="89"/>
      <c r="O46" s="89"/>
      <c r="P46" s="79"/>
      <c r="Q46" s="79"/>
      <c r="R46" s="176"/>
      <c r="S46" s="79"/>
      <c r="T46" s="172"/>
      <c r="U46" s="79"/>
      <c r="V46" s="79"/>
      <c r="W46" s="79"/>
      <c r="X46" s="79"/>
      <c r="Y46" s="79"/>
      <c r="Z46" s="79"/>
    </row>
    <row r="47" spans="1:26" ht="13.5" hidden="1" thickBot="1" x14ac:dyDescent="0.25">
      <c r="A47" s="279"/>
      <c r="B47" s="632" t="s">
        <v>98</v>
      </c>
      <c r="C47" s="632"/>
      <c r="D47" s="632"/>
      <c r="E47" s="632"/>
      <c r="F47" s="632"/>
      <c r="G47" s="632"/>
      <c r="H47" s="632"/>
      <c r="I47" s="633"/>
      <c r="J47" s="634" t="s">
        <v>99</v>
      </c>
      <c r="K47" s="635"/>
      <c r="L47" s="635"/>
      <c r="M47" s="635"/>
      <c r="N47" s="635"/>
      <c r="O47" s="635"/>
      <c r="P47" s="635"/>
      <c r="Q47" s="636"/>
      <c r="R47" s="176" t="s">
        <v>100</v>
      </c>
      <c r="S47" s="79"/>
      <c r="T47" s="172"/>
      <c r="U47" s="79"/>
      <c r="V47" s="79"/>
      <c r="W47" s="79"/>
      <c r="X47" s="79"/>
      <c r="Y47" s="79"/>
      <c r="Z47" s="79"/>
    </row>
    <row r="48" spans="1:26" hidden="1" x14ac:dyDescent="0.2">
      <c r="A48" s="279"/>
      <c r="B48" s="637" t="s">
        <v>101</v>
      </c>
      <c r="C48" s="638"/>
      <c r="D48" s="638"/>
      <c r="E48" s="638"/>
      <c r="F48" s="638" t="s">
        <v>102</v>
      </c>
      <c r="G48" s="638"/>
      <c r="H48" s="638"/>
      <c r="I48" s="639"/>
      <c r="J48" s="640" t="s">
        <v>101</v>
      </c>
      <c r="K48" s="641"/>
      <c r="L48" s="641"/>
      <c r="M48" s="641"/>
      <c r="N48" s="642" t="s">
        <v>102</v>
      </c>
      <c r="O48" s="643"/>
      <c r="P48" s="643"/>
      <c r="Q48" s="644"/>
      <c r="R48" s="79"/>
      <c r="S48" s="79"/>
      <c r="T48" s="172"/>
      <c r="U48" s="79"/>
      <c r="V48" s="79"/>
      <c r="W48" s="79"/>
      <c r="X48" s="79"/>
      <c r="Y48" s="79"/>
      <c r="Z48" s="79"/>
    </row>
    <row r="49" spans="1:26" hidden="1" x14ac:dyDescent="0.2">
      <c r="A49" s="279"/>
      <c r="B49" s="280" t="s">
        <v>94</v>
      </c>
      <c r="C49" s="131" t="s">
        <v>4</v>
      </c>
      <c r="D49" s="647" t="s">
        <v>103</v>
      </c>
      <c r="E49" s="647"/>
      <c r="F49" s="131" t="s">
        <v>94</v>
      </c>
      <c r="G49" s="131" t="s">
        <v>4</v>
      </c>
      <c r="H49" s="647" t="s">
        <v>103</v>
      </c>
      <c r="I49" s="648"/>
      <c r="J49" s="280" t="s">
        <v>94</v>
      </c>
      <c r="K49" s="131" t="s">
        <v>4</v>
      </c>
      <c r="L49" s="647" t="s">
        <v>103</v>
      </c>
      <c r="M49" s="647"/>
      <c r="N49" s="282" t="s">
        <v>94</v>
      </c>
      <c r="O49" s="282" t="s">
        <v>4</v>
      </c>
      <c r="P49" s="649" t="s">
        <v>103</v>
      </c>
      <c r="Q49" s="649"/>
      <c r="R49" s="176" t="s">
        <v>104</v>
      </c>
      <c r="S49" s="79"/>
      <c r="T49" s="172"/>
      <c r="U49" s="79"/>
      <c r="V49" s="79"/>
      <c r="W49" s="79"/>
      <c r="X49" s="79"/>
      <c r="Y49" s="79"/>
      <c r="Z49" s="79"/>
    </row>
    <row r="50" spans="1:26" hidden="1" x14ac:dyDescent="0.2">
      <c r="A50" s="279"/>
      <c r="B50" s="280"/>
      <c r="C50" s="131" t="s">
        <v>105</v>
      </c>
      <c r="D50" s="131" t="s">
        <v>64</v>
      </c>
      <c r="E50" s="131" t="s">
        <v>65</v>
      </c>
      <c r="F50" s="131"/>
      <c r="G50" s="131" t="s">
        <v>105</v>
      </c>
      <c r="H50" s="131" t="s">
        <v>64</v>
      </c>
      <c r="I50" s="281" t="s">
        <v>65</v>
      </c>
      <c r="J50" s="280"/>
      <c r="K50" s="131" t="s">
        <v>105</v>
      </c>
      <c r="L50" s="131" t="s">
        <v>64</v>
      </c>
      <c r="M50" s="131" t="s">
        <v>65</v>
      </c>
      <c r="N50" s="131"/>
      <c r="O50" s="131" t="s">
        <v>105</v>
      </c>
      <c r="P50" s="131" t="s">
        <v>64</v>
      </c>
      <c r="Q50" s="131" t="s">
        <v>65</v>
      </c>
      <c r="R50" s="79"/>
      <c r="S50" s="79"/>
      <c r="T50" s="172"/>
      <c r="U50" s="79"/>
      <c r="V50" s="79"/>
      <c r="W50" s="79"/>
      <c r="X50" s="79"/>
      <c r="Y50" s="79"/>
      <c r="Z50" s="79"/>
    </row>
    <row r="51" spans="1:26" hidden="1" x14ac:dyDescent="0.2">
      <c r="A51" s="279"/>
      <c r="B51" s="280">
        <v>0</v>
      </c>
      <c r="C51" s="283"/>
      <c r="D51" s="283"/>
      <c r="E51" s="283"/>
      <c r="F51" s="131">
        <v>25</v>
      </c>
      <c r="G51" s="131">
        <v>7</v>
      </c>
      <c r="H51" s="284">
        <v>5011150</v>
      </c>
      <c r="I51" s="285" t="s">
        <v>106</v>
      </c>
      <c r="J51" s="286">
        <v>0</v>
      </c>
      <c r="K51" s="287"/>
      <c r="L51" s="284"/>
      <c r="M51" s="287"/>
      <c r="N51" s="287">
        <v>674</v>
      </c>
      <c r="O51" s="287">
        <v>12</v>
      </c>
      <c r="P51" s="287">
        <v>5033073</v>
      </c>
      <c r="Q51" s="287">
        <v>4933073</v>
      </c>
      <c r="R51" s="79"/>
      <c r="S51" s="79"/>
      <c r="T51" s="172"/>
      <c r="U51" s="79"/>
      <c r="V51" s="79"/>
      <c r="W51" s="79"/>
      <c r="X51" s="79"/>
      <c r="Y51" s="79"/>
      <c r="Z51" s="79"/>
    </row>
    <row r="52" spans="1:26" hidden="1" x14ac:dyDescent="0.2">
      <c r="A52" s="279"/>
      <c r="B52" s="280">
        <v>25</v>
      </c>
      <c r="C52" s="131">
        <v>7</v>
      </c>
      <c r="D52" s="284">
        <v>5011150</v>
      </c>
      <c r="E52" s="288" t="s">
        <v>106</v>
      </c>
      <c r="F52" s="131">
        <v>36</v>
      </c>
      <c r="G52" s="131">
        <v>7</v>
      </c>
      <c r="H52" s="284">
        <v>5011170</v>
      </c>
      <c r="I52" s="285" t="s">
        <v>106</v>
      </c>
      <c r="J52" s="286">
        <v>674</v>
      </c>
      <c r="K52" s="287">
        <v>12</v>
      </c>
      <c r="L52" s="287">
        <v>5033073</v>
      </c>
      <c r="M52" s="287">
        <v>4933073</v>
      </c>
      <c r="N52" s="287">
        <v>861</v>
      </c>
      <c r="O52" s="287">
        <v>12</v>
      </c>
      <c r="P52" s="287">
        <v>5033082</v>
      </c>
      <c r="Q52" s="287">
        <v>4933082</v>
      </c>
      <c r="R52" s="79"/>
      <c r="S52" s="79"/>
      <c r="T52" s="172"/>
    </row>
    <row r="53" spans="1:26" hidden="1" x14ac:dyDescent="0.2">
      <c r="A53" s="279"/>
      <c r="B53" s="280">
        <v>36</v>
      </c>
      <c r="C53" s="131">
        <v>7</v>
      </c>
      <c r="D53" s="284">
        <v>5011170</v>
      </c>
      <c r="E53" s="288" t="s">
        <v>106</v>
      </c>
      <c r="F53" s="131">
        <v>43</v>
      </c>
      <c r="G53" s="131">
        <v>7</v>
      </c>
      <c r="H53" s="284">
        <v>5011190</v>
      </c>
      <c r="I53" s="285" t="s">
        <v>106</v>
      </c>
      <c r="J53" s="286">
        <v>861</v>
      </c>
      <c r="K53" s="287">
        <v>12</v>
      </c>
      <c r="L53" s="287">
        <v>5033082</v>
      </c>
      <c r="M53" s="287">
        <v>4933082</v>
      </c>
      <c r="N53" s="287">
        <v>1020</v>
      </c>
      <c r="O53" s="287">
        <v>12</v>
      </c>
      <c r="P53" s="287">
        <v>5033089</v>
      </c>
      <c r="Q53" s="287">
        <v>4933089</v>
      </c>
      <c r="R53" s="79"/>
      <c r="S53" s="79"/>
      <c r="T53" s="172"/>
    </row>
    <row r="54" spans="1:26" hidden="1" x14ac:dyDescent="0.2">
      <c r="A54" s="279"/>
      <c r="B54" s="280">
        <v>43</v>
      </c>
      <c r="C54" s="131">
        <v>7</v>
      </c>
      <c r="D54" s="284">
        <v>5011190</v>
      </c>
      <c r="E54" s="288" t="s">
        <v>106</v>
      </c>
      <c r="F54" s="131">
        <v>55</v>
      </c>
      <c r="G54" s="131">
        <v>7</v>
      </c>
      <c r="H54" s="284">
        <v>5011210</v>
      </c>
      <c r="I54" s="289">
        <v>4911210</v>
      </c>
      <c r="J54" s="286">
        <v>1020</v>
      </c>
      <c r="K54" s="287">
        <v>12</v>
      </c>
      <c r="L54" s="287">
        <v>5033089</v>
      </c>
      <c r="M54" s="287">
        <v>4933089</v>
      </c>
      <c r="N54" s="287">
        <v>1136</v>
      </c>
      <c r="O54" s="287">
        <v>12</v>
      </c>
      <c r="P54" s="287">
        <v>5033094</v>
      </c>
      <c r="Q54" s="287">
        <v>4933094</v>
      </c>
      <c r="R54" s="79"/>
      <c r="S54" s="79"/>
      <c r="T54" s="172"/>
    </row>
    <row r="55" spans="1:26" hidden="1" x14ac:dyDescent="0.2">
      <c r="A55" s="279"/>
      <c r="B55" s="280">
        <v>55</v>
      </c>
      <c r="C55" s="131">
        <v>7</v>
      </c>
      <c r="D55" s="284">
        <v>5011210</v>
      </c>
      <c r="E55" s="284">
        <v>4911210</v>
      </c>
      <c r="F55" s="131">
        <v>75</v>
      </c>
      <c r="G55" s="131">
        <v>8</v>
      </c>
      <c r="H55" s="284">
        <v>5011230</v>
      </c>
      <c r="I55" s="289">
        <v>4911230</v>
      </c>
      <c r="J55" s="286">
        <v>1136</v>
      </c>
      <c r="K55" s="287">
        <v>12</v>
      </c>
      <c r="L55" s="287">
        <v>5033094</v>
      </c>
      <c r="M55" s="287">
        <v>4933094</v>
      </c>
      <c r="N55" s="287">
        <v>1190</v>
      </c>
      <c r="O55" s="287">
        <v>12</v>
      </c>
      <c r="P55" s="287">
        <v>5033096</v>
      </c>
      <c r="Q55" s="287">
        <v>4933096</v>
      </c>
      <c r="R55" s="79"/>
      <c r="S55" s="79"/>
      <c r="T55" s="172"/>
    </row>
    <row r="56" spans="1:26" hidden="1" x14ac:dyDescent="0.2">
      <c r="A56" s="279"/>
      <c r="B56" s="280">
        <v>75</v>
      </c>
      <c r="C56" s="131">
        <v>8</v>
      </c>
      <c r="D56" s="284">
        <v>5011230</v>
      </c>
      <c r="E56" s="284">
        <v>4911230</v>
      </c>
      <c r="F56" s="131">
        <v>84</v>
      </c>
      <c r="G56" s="131">
        <v>9</v>
      </c>
      <c r="H56" s="284">
        <v>5011260</v>
      </c>
      <c r="I56" s="289">
        <v>4911260</v>
      </c>
      <c r="J56" s="286">
        <v>1190</v>
      </c>
      <c r="K56" s="287">
        <v>12</v>
      </c>
      <c r="L56" s="287">
        <v>5033096</v>
      </c>
      <c r="M56" s="287">
        <v>4933096</v>
      </c>
      <c r="N56" s="287">
        <v>1272</v>
      </c>
      <c r="O56" s="287">
        <v>13</v>
      </c>
      <c r="P56" s="287">
        <v>5033098</v>
      </c>
      <c r="Q56" s="287">
        <v>4933098</v>
      </c>
      <c r="R56" s="79"/>
      <c r="S56" s="79"/>
      <c r="T56" s="172"/>
    </row>
    <row r="57" spans="1:26" hidden="1" x14ac:dyDescent="0.2">
      <c r="A57" s="279"/>
      <c r="B57" s="280">
        <v>84</v>
      </c>
      <c r="C57" s="131">
        <v>9</v>
      </c>
      <c r="D57" s="284">
        <v>5011260</v>
      </c>
      <c r="E57" s="284">
        <v>4911260</v>
      </c>
      <c r="F57" s="131">
        <v>104</v>
      </c>
      <c r="G57" s="131">
        <v>10</v>
      </c>
      <c r="H57" s="284">
        <v>5011290</v>
      </c>
      <c r="I57" s="289">
        <v>4911290</v>
      </c>
      <c r="J57" s="286">
        <v>1272</v>
      </c>
      <c r="K57" s="287">
        <v>13</v>
      </c>
      <c r="L57" s="287">
        <v>5033098</v>
      </c>
      <c r="M57" s="287">
        <v>4933098</v>
      </c>
      <c r="N57" s="287">
        <v>1349</v>
      </c>
      <c r="O57" s="287">
        <v>13</v>
      </c>
      <c r="P57" s="287">
        <v>5033102</v>
      </c>
      <c r="Q57" s="287">
        <v>4933102</v>
      </c>
      <c r="R57" s="79"/>
      <c r="S57" s="79"/>
      <c r="T57" s="172"/>
    </row>
    <row r="58" spans="1:26" hidden="1" x14ac:dyDescent="0.2">
      <c r="A58" s="279"/>
      <c r="B58" s="280">
        <v>104</v>
      </c>
      <c r="C58" s="131">
        <v>10</v>
      </c>
      <c r="D58" s="284">
        <v>5011290</v>
      </c>
      <c r="E58" s="284">
        <v>4911290</v>
      </c>
      <c r="F58" s="131">
        <v>114</v>
      </c>
      <c r="G58" s="131">
        <v>10</v>
      </c>
      <c r="H58" s="284">
        <v>5011300</v>
      </c>
      <c r="I58" s="289">
        <v>4911300</v>
      </c>
      <c r="J58" s="286">
        <v>1349</v>
      </c>
      <c r="K58" s="287">
        <v>13</v>
      </c>
      <c r="L58" s="287">
        <v>5033102</v>
      </c>
      <c r="M58" s="287">
        <v>4933102</v>
      </c>
      <c r="N58" s="287">
        <v>1485</v>
      </c>
      <c r="O58" s="287">
        <v>13</v>
      </c>
      <c r="P58" s="287">
        <v>5033107</v>
      </c>
      <c r="Q58" s="287">
        <v>4933107</v>
      </c>
      <c r="R58" s="89"/>
      <c r="S58" s="79"/>
      <c r="T58" s="172"/>
    </row>
    <row r="59" spans="1:26" hidden="1" x14ac:dyDescent="0.2">
      <c r="A59" s="279"/>
      <c r="B59" s="280">
        <v>114</v>
      </c>
      <c r="C59" s="131">
        <v>10</v>
      </c>
      <c r="D59" s="284">
        <v>5011300</v>
      </c>
      <c r="E59" s="284">
        <v>4911300</v>
      </c>
      <c r="F59" s="131">
        <v>129</v>
      </c>
      <c r="G59" s="131">
        <v>11</v>
      </c>
      <c r="H59" s="284">
        <v>5011320</v>
      </c>
      <c r="I59" s="289">
        <v>4911320</v>
      </c>
      <c r="J59" s="286">
        <v>1485</v>
      </c>
      <c r="K59" s="287">
        <v>13</v>
      </c>
      <c r="L59" s="287">
        <v>5033107</v>
      </c>
      <c r="M59" s="287">
        <v>4933107</v>
      </c>
      <c r="N59" s="287">
        <v>1567</v>
      </c>
      <c r="O59" s="287">
        <v>14</v>
      </c>
      <c r="P59" s="287">
        <v>5033111</v>
      </c>
      <c r="Q59" s="287">
        <v>4933111</v>
      </c>
      <c r="R59" s="89"/>
      <c r="S59" s="79"/>
      <c r="T59" s="172"/>
    </row>
    <row r="60" spans="1:26" hidden="1" x14ac:dyDescent="0.2">
      <c r="A60" s="279"/>
      <c r="B60" s="280">
        <v>129</v>
      </c>
      <c r="C60" s="131">
        <v>11</v>
      </c>
      <c r="D60" s="284">
        <v>5011320</v>
      </c>
      <c r="E60" s="284">
        <v>4911320</v>
      </c>
      <c r="F60" s="131">
        <v>154</v>
      </c>
      <c r="G60" s="131">
        <v>11</v>
      </c>
      <c r="H60" s="284">
        <v>5011350</v>
      </c>
      <c r="I60" s="289">
        <v>4911350</v>
      </c>
      <c r="J60" s="286">
        <v>1567</v>
      </c>
      <c r="K60" s="287">
        <v>14</v>
      </c>
      <c r="L60" s="287">
        <v>5033111</v>
      </c>
      <c r="M60" s="287">
        <v>4933111</v>
      </c>
      <c r="N60" s="287">
        <v>1631</v>
      </c>
      <c r="O60" s="287">
        <v>14</v>
      </c>
      <c r="P60" s="287">
        <v>5033112</v>
      </c>
      <c r="Q60" s="287">
        <v>4933112</v>
      </c>
      <c r="R60" s="89"/>
      <c r="S60" s="79"/>
      <c r="T60" s="172"/>
    </row>
    <row r="61" spans="1:26" hidden="1" x14ac:dyDescent="0.2">
      <c r="A61" s="279"/>
      <c r="B61" s="280">
        <v>154</v>
      </c>
      <c r="C61" s="131">
        <v>11</v>
      </c>
      <c r="D61" s="284">
        <v>5011350</v>
      </c>
      <c r="E61" s="284">
        <v>4911350</v>
      </c>
      <c r="F61" s="288">
        <v>175</v>
      </c>
      <c r="G61" s="288">
        <v>12</v>
      </c>
      <c r="H61" s="284">
        <v>5011370</v>
      </c>
      <c r="I61" s="289">
        <v>4911370</v>
      </c>
      <c r="J61" s="286">
        <v>1631</v>
      </c>
      <c r="K61" s="287">
        <v>14</v>
      </c>
      <c r="L61" s="287">
        <v>5033112</v>
      </c>
      <c r="M61" s="287">
        <v>4933112</v>
      </c>
      <c r="N61" s="287">
        <v>1815</v>
      </c>
      <c r="O61" s="287">
        <v>14</v>
      </c>
      <c r="P61" s="287">
        <v>5033118</v>
      </c>
      <c r="Q61" s="287">
        <v>4933118</v>
      </c>
      <c r="R61" s="89"/>
      <c r="S61" s="79"/>
      <c r="T61" s="172"/>
    </row>
    <row r="62" spans="1:26" hidden="1" x14ac:dyDescent="0.2">
      <c r="A62" s="290"/>
      <c r="B62" s="291">
        <v>175</v>
      </c>
      <c r="C62" s="288">
        <v>12</v>
      </c>
      <c r="D62" s="284">
        <v>5011370</v>
      </c>
      <c r="E62" s="284">
        <v>4911370</v>
      </c>
      <c r="F62" s="292">
        <v>204</v>
      </c>
      <c r="G62" s="288">
        <v>12</v>
      </c>
      <c r="H62" s="284">
        <v>5011400</v>
      </c>
      <c r="I62" s="289">
        <v>4911400</v>
      </c>
      <c r="J62" s="286">
        <v>1815</v>
      </c>
      <c r="K62" s="287">
        <v>14</v>
      </c>
      <c r="L62" s="287">
        <v>5033118</v>
      </c>
      <c r="M62" s="287">
        <v>4933118</v>
      </c>
      <c r="N62" s="287">
        <v>2001</v>
      </c>
      <c r="O62" s="287">
        <v>15</v>
      </c>
      <c r="P62" s="287">
        <v>5033124</v>
      </c>
      <c r="Q62" s="287">
        <v>4933124</v>
      </c>
      <c r="R62" s="89"/>
      <c r="S62" s="79"/>
      <c r="T62" s="172"/>
    </row>
    <row r="63" spans="1:26" hidden="1" x14ac:dyDescent="0.2">
      <c r="A63" s="290"/>
      <c r="B63" s="293">
        <v>204</v>
      </c>
      <c r="C63" s="288">
        <v>12</v>
      </c>
      <c r="D63" s="284">
        <v>5011400</v>
      </c>
      <c r="E63" s="284">
        <v>4911400</v>
      </c>
      <c r="F63" s="288">
        <v>241</v>
      </c>
      <c r="G63" s="288">
        <v>12</v>
      </c>
      <c r="H63" s="284">
        <v>5011430</v>
      </c>
      <c r="I63" s="289">
        <v>4911430</v>
      </c>
      <c r="J63" s="286">
        <v>2001</v>
      </c>
      <c r="K63" s="287">
        <v>15</v>
      </c>
      <c r="L63" s="287">
        <v>5033124</v>
      </c>
      <c r="M63" s="287">
        <v>4933124</v>
      </c>
      <c r="N63" s="287">
        <v>2044</v>
      </c>
      <c r="O63" s="287">
        <v>16</v>
      </c>
      <c r="P63" s="287">
        <v>5033125</v>
      </c>
      <c r="Q63" s="287">
        <v>4933125</v>
      </c>
      <c r="R63" s="89"/>
      <c r="S63" s="79"/>
      <c r="T63" s="172"/>
    </row>
    <row r="64" spans="1:26" hidden="1" x14ac:dyDescent="0.2">
      <c r="A64" s="290"/>
      <c r="B64" s="291">
        <v>241</v>
      </c>
      <c r="C64" s="288">
        <v>12</v>
      </c>
      <c r="D64" s="284">
        <v>5011430</v>
      </c>
      <c r="E64" s="284">
        <v>4911430</v>
      </c>
      <c r="F64" s="288">
        <v>279</v>
      </c>
      <c r="G64" s="288">
        <v>12</v>
      </c>
      <c r="H64" s="284">
        <v>5011460</v>
      </c>
      <c r="I64" s="289">
        <v>4911460</v>
      </c>
      <c r="J64" s="286">
        <v>2044</v>
      </c>
      <c r="K64" s="287">
        <v>16</v>
      </c>
      <c r="L64" s="287">
        <v>5033125</v>
      </c>
      <c r="M64" s="287">
        <v>4933125</v>
      </c>
      <c r="N64" s="287">
        <v>2171</v>
      </c>
      <c r="O64" s="287">
        <v>16</v>
      </c>
      <c r="P64" s="287">
        <v>5033129</v>
      </c>
      <c r="Q64" s="287">
        <v>4933129</v>
      </c>
      <c r="R64" s="89"/>
      <c r="S64" s="79"/>
      <c r="T64" s="172"/>
    </row>
    <row r="65" spans="1:20" hidden="1" x14ac:dyDescent="0.2">
      <c r="A65" s="271"/>
      <c r="B65" s="291">
        <v>279</v>
      </c>
      <c r="C65" s="288">
        <v>12</v>
      </c>
      <c r="D65" s="284">
        <v>5011460</v>
      </c>
      <c r="E65" s="284">
        <v>4911460</v>
      </c>
      <c r="F65" s="288">
        <v>320</v>
      </c>
      <c r="G65" s="288">
        <v>13</v>
      </c>
      <c r="H65" s="284">
        <v>5011490</v>
      </c>
      <c r="I65" s="289">
        <v>4911490</v>
      </c>
      <c r="J65" s="286">
        <v>2171</v>
      </c>
      <c r="K65" s="287">
        <v>16</v>
      </c>
      <c r="L65" s="287">
        <v>5033129</v>
      </c>
      <c r="M65" s="287">
        <v>4933129</v>
      </c>
      <c r="N65" s="287">
        <v>2271</v>
      </c>
      <c r="O65" s="287">
        <v>17</v>
      </c>
      <c r="P65" s="287">
        <v>5033132</v>
      </c>
      <c r="Q65" s="287">
        <v>4933132</v>
      </c>
      <c r="R65" s="89"/>
      <c r="S65" s="79"/>
      <c r="T65" s="172"/>
    </row>
    <row r="66" spans="1:20" hidden="1" x14ac:dyDescent="0.2">
      <c r="A66" s="279"/>
      <c r="B66" s="291">
        <v>320</v>
      </c>
      <c r="C66" s="288">
        <v>13</v>
      </c>
      <c r="D66" s="284">
        <v>5011490</v>
      </c>
      <c r="E66" s="284">
        <v>4911490</v>
      </c>
      <c r="F66" s="288">
        <v>350</v>
      </c>
      <c r="G66" s="288">
        <v>13</v>
      </c>
      <c r="H66" s="284">
        <v>5011510</v>
      </c>
      <c r="I66" s="289">
        <v>4911510</v>
      </c>
      <c r="J66" s="286">
        <v>2271</v>
      </c>
      <c r="K66" s="287">
        <v>17</v>
      </c>
      <c r="L66" s="287">
        <v>5033132</v>
      </c>
      <c r="M66" s="287">
        <v>4933132</v>
      </c>
      <c r="N66" s="287">
        <v>2380</v>
      </c>
      <c r="O66" s="287">
        <v>17</v>
      </c>
      <c r="P66" s="287">
        <v>5033135</v>
      </c>
      <c r="Q66" s="287">
        <v>4933135</v>
      </c>
      <c r="R66" s="89"/>
      <c r="S66" s="79"/>
      <c r="T66" s="172"/>
    </row>
    <row r="67" spans="1:20" hidden="1" x14ac:dyDescent="0.2">
      <c r="A67" s="279"/>
      <c r="B67" s="291">
        <v>350</v>
      </c>
      <c r="C67" s="288">
        <v>13</v>
      </c>
      <c r="D67" s="284">
        <v>5011510</v>
      </c>
      <c r="E67" s="284">
        <v>4911510</v>
      </c>
      <c r="F67" s="288">
        <v>400</v>
      </c>
      <c r="G67" s="288">
        <v>13</v>
      </c>
      <c r="H67" s="284">
        <v>5011540</v>
      </c>
      <c r="I67" s="289">
        <v>4911540</v>
      </c>
      <c r="J67" s="286">
        <v>2380</v>
      </c>
      <c r="K67" s="287">
        <v>17</v>
      </c>
      <c r="L67" s="287">
        <v>5033135</v>
      </c>
      <c r="M67" s="287">
        <v>4933135</v>
      </c>
      <c r="N67" s="287">
        <v>2498</v>
      </c>
      <c r="O67" s="287">
        <v>18</v>
      </c>
      <c r="P67" s="287">
        <v>5033138</v>
      </c>
      <c r="Q67" s="287">
        <v>4933138</v>
      </c>
      <c r="R67" s="89"/>
      <c r="S67" s="79"/>
      <c r="T67" s="172"/>
    </row>
    <row r="68" spans="1:20" hidden="1" x14ac:dyDescent="0.2">
      <c r="A68" s="279"/>
      <c r="B68" s="291">
        <v>400</v>
      </c>
      <c r="C68" s="288">
        <v>13</v>
      </c>
      <c r="D68" s="284">
        <v>5011540</v>
      </c>
      <c r="E68" s="284">
        <v>4911540</v>
      </c>
      <c r="F68" s="288">
        <v>477</v>
      </c>
      <c r="G68" s="288">
        <v>14</v>
      </c>
      <c r="H68" s="284">
        <v>5011570</v>
      </c>
      <c r="I68" s="289">
        <v>4911570</v>
      </c>
      <c r="J68" s="286">
        <v>2498</v>
      </c>
      <c r="K68" s="287">
        <v>18</v>
      </c>
      <c r="L68" s="287">
        <v>5033138</v>
      </c>
      <c r="M68" s="287">
        <v>4933138</v>
      </c>
      <c r="N68" s="287">
        <v>2639</v>
      </c>
      <c r="O68" s="287">
        <v>18</v>
      </c>
      <c r="P68" s="287">
        <v>5033142</v>
      </c>
      <c r="Q68" s="287">
        <v>4933142</v>
      </c>
      <c r="R68" s="89"/>
      <c r="S68" s="79"/>
      <c r="T68" s="172"/>
    </row>
    <row r="69" spans="1:20" hidden="1" x14ac:dyDescent="0.2">
      <c r="A69" s="279"/>
      <c r="B69" s="291">
        <v>477</v>
      </c>
      <c r="C69" s="288">
        <v>14</v>
      </c>
      <c r="D69" s="284">
        <v>5011570</v>
      </c>
      <c r="E69" s="284">
        <v>4911570</v>
      </c>
      <c r="F69" s="288">
        <v>545</v>
      </c>
      <c r="G69" s="288">
        <v>14</v>
      </c>
      <c r="H69" s="284">
        <v>5011620</v>
      </c>
      <c r="I69" s="289">
        <v>4911620</v>
      </c>
      <c r="J69" s="286">
        <v>2639</v>
      </c>
      <c r="K69" s="287">
        <v>18</v>
      </c>
      <c r="L69" s="287">
        <v>5033142</v>
      </c>
      <c r="M69" s="287">
        <v>4933142</v>
      </c>
      <c r="N69" s="287">
        <v>2871</v>
      </c>
      <c r="O69" s="287">
        <v>19</v>
      </c>
      <c r="P69" s="287">
        <v>5033148</v>
      </c>
      <c r="Q69" s="287">
        <v>4933148</v>
      </c>
      <c r="R69" s="89"/>
      <c r="S69" s="79"/>
      <c r="T69" s="172"/>
    </row>
    <row r="70" spans="1:20" hidden="1" x14ac:dyDescent="0.2">
      <c r="A70" s="279"/>
      <c r="B70" s="291">
        <v>545</v>
      </c>
      <c r="C70" s="288">
        <v>14</v>
      </c>
      <c r="D70" s="284">
        <v>5011620</v>
      </c>
      <c r="E70" s="284">
        <v>4911620</v>
      </c>
      <c r="F70" s="288">
        <v>615</v>
      </c>
      <c r="G70" s="288">
        <v>14</v>
      </c>
      <c r="H70" s="284">
        <v>5011725</v>
      </c>
      <c r="I70" s="289">
        <v>4911725</v>
      </c>
      <c r="J70" s="286">
        <v>2871</v>
      </c>
      <c r="K70" s="287">
        <v>19</v>
      </c>
      <c r="L70" s="287">
        <v>5033148</v>
      </c>
      <c r="M70" s="287">
        <v>4933148</v>
      </c>
      <c r="N70" s="287">
        <v>3191</v>
      </c>
      <c r="O70" s="287">
        <v>21</v>
      </c>
      <c r="P70" s="287">
        <v>5033156</v>
      </c>
      <c r="Q70" s="287">
        <v>4933156</v>
      </c>
      <c r="R70" s="89"/>
      <c r="S70" s="79"/>
      <c r="T70" s="172"/>
    </row>
    <row r="71" spans="1:20" hidden="1" x14ac:dyDescent="0.2">
      <c r="A71" s="279"/>
      <c r="B71" s="291">
        <v>615</v>
      </c>
      <c r="C71" s="288">
        <v>14</v>
      </c>
      <c r="D71" s="284">
        <v>5011725</v>
      </c>
      <c r="E71" s="284">
        <v>4911725</v>
      </c>
      <c r="F71" s="288">
        <v>670</v>
      </c>
      <c r="G71" s="288">
        <v>14</v>
      </c>
      <c r="H71" s="284">
        <v>5011730</v>
      </c>
      <c r="I71" s="289">
        <v>4911730</v>
      </c>
      <c r="J71" s="286">
        <v>3191</v>
      </c>
      <c r="K71" s="287">
        <v>21</v>
      </c>
      <c r="L71" s="287">
        <v>5033156</v>
      </c>
      <c r="M71" s="287">
        <v>4933156</v>
      </c>
      <c r="N71" s="287">
        <v>3407</v>
      </c>
      <c r="O71" s="287">
        <v>22</v>
      </c>
      <c r="P71" s="287">
        <v>5033161</v>
      </c>
      <c r="Q71" s="287">
        <v>4933161</v>
      </c>
      <c r="R71" s="89"/>
      <c r="S71" s="79"/>
      <c r="T71" s="172"/>
    </row>
    <row r="72" spans="1:20" hidden="1" x14ac:dyDescent="0.2">
      <c r="A72" s="279"/>
      <c r="B72" s="291">
        <v>670</v>
      </c>
      <c r="C72" s="288">
        <v>14</v>
      </c>
      <c r="D72" s="284">
        <v>5011730</v>
      </c>
      <c r="E72" s="284">
        <v>4911730</v>
      </c>
      <c r="F72" s="288">
        <v>736</v>
      </c>
      <c r="G72" s="288">
        <v>14</v>
      </c>
      <c r="H72" s="284">
        <v>5011735</v>
      </c>
      <c r="I72" s="289">
        <v>4911735</v>
      </c>
      <c r="J72" s="286">
        <v>3407</v>
      </c>
      <c r="K72" s="287">
        <v>22</v>
      </c>
      <c r="L72" s="287">
        <v>5033161</v>
      </c>
      <c r="M72" s="287">
        <v>4933161</v>
      </c>
      <c r="N72" s="287">
        <v>3486</v>
      </c>
      <c r="O72" s="287">
        <v>22</v>
      </c>
      <c r="P72" s="287">
        <v>5033163</v>
      </c>
      <c r="Q72" s="287">
        <v>4933163</v>
      </c>
      <c r="R72" s="89"/>
      <c r="S72" s="79"/>
      <c r="T72" s="172"/>
    </row>
    <row r="73" spans="1:20" hidden="1" x14ac:dyDescent="0.2">
      <c r="A73" s="279"/>
      <c r="B73" s="291">
        <v>736</v>
      </c>
      <c r="C73" s="288">
        <v>14</v>
      </c>
      <c r="D73" s="284">
        <v>5011735</v>
      </c>
      <c r="E73" s="284">
        <v>4911735</v>
      </c>
      <c r="F73" s="288">
        <v>799</v>
      </c>
      <c r="G73" s="288">
        <v>16</v>
      </c>
      <c r="H73" s="284">
        <v>5011740</v>
      </c>
      <c r="I73" s="289">
        <v>4911740</v>
      </c>
      <c r="J73" s="286">
        <v>3486</v>
      </c>
      <c r="K73" s="287">
        <v>22</v>
      </c>
      <c r="L73" s="287">
        <v>5033163</v>
      </c>
      <c r="M73" s="287">
        <v>4933163</v>
      </c>
      <c r="N73" s="287">
        <v>3634</v>
      </c>
      <c r="O73" s="287">
        <v>20</v>
      </c>
      <c r="P73" s="287">
        <v>5044148</v>
      </c>
      <c r="Q73" s="287">
        <v>4944148</v>
      </c>
      <c r="R73" s="89"/>
      <c r="S73" s="79"/>
      <c r="T73" s="172"/>
    </row>
    <row r="74" spans="1:20" hidden="1" x14ac:dyDescent="0.2">
      <c r="A74" s="279"/>
      <c r="B74" s="291">
        <v>799</v>
      </c>
      <c r="C74" s="288">
        <v>16</v>
      </c>
      <c r="D74" s="284">
        <v>5011740</v>
      </c>
      <c r="E74" s="284">
        <v>4911740</v>
      </c>
      <c r="F74" s="288">
        <v>870</v>
      </c>
      <c r="G74" s="288">
        <v>19</v>
      </c>
      <c r="H74" s="284">
        <v>5011745</v>
      </c>
      <c r="I74" s="289">
        <v>4911745</v>
      </c>
      <c r="J74" s="286">
        <v>3634</v>
      </c>
      <c r="K74" s="287">
        <v>20</v>
      </c>
      <c r="L74" s="287">
        <v>5044148</v>
      </c>
      <c r="M74" s="287">
        <v>4944148</v>
      </c>
      <c r="N74" s="287">
        <v>3681</v>
      </c>
      <c r="O74" s="287">
        <v>21</v>
      </c>
      <c r="P74" s="287">
        <v>5044152</v>
      </c>
      <c r="Q74" s="287">
        <v>4944152</v>
      </c>
      <c r="R74" s="89"/>
      <c r="S74" s="79"/>
      <c r="T74" s="172"/>
    </row>
    <row r="75" spans="1:20" hidden="1" x14ac:dyDescent="0.2">
      <c r="A75" s="279"/>
      <c r="B75" s="291">
        <v>870</v>
      </c>
      <c r="C75" s="288">
        <v>19</v>
      </c>
      <c r="D75" s="284">
        <v>5011745</v>
      </c>
      <c r="E75" s="284">
        <v>4911745</v>
      </c>
      <c r="F75" s="288">
        <v>936</v>
      </c>
      <c r="G75" s="288">
        <v>21</v>
      </c>
      <c r="H75" s="284">
        <v>5011750</v>
      </c>
      <c r="I75" s="289">
        <v>4911750</v>
      </c>
      <c r="J75" s="286">
        <v>3681</v>
      </c>
      <c r="K75" s="287">
        <v>21</v>
      </c>
      <c r="L75" s="287">
        <v>5044152</v>
      </c>
      <c r="M75" s="287">
        <v>4944152</v>
      </c>
      <c r="N75" s="287">
        <v>4088</v>
      </c>
      <c r="O75" s="287">
        <v>21</v>
      </c>
      <c r="P75" s="287">
        <v>5044156</v>
      </c>
      <c r="Q75" s="287">
        <v>4944156</v>
      </c>
      <c r="R75" s="89"/>
      <c r="S75" s="79"/>
      <c r="T75" s="172"/>
    </row>
    <row r="76" spans="1:20" hidden="1" x14ac:dyDescent="0.2">
      <c r="A76" s="279"/>
      <c r="B76" s="291">
        <v>936</v>
      </c>
      <c r="C76" s="288">
        <v>21</v>
      </c>
      <c r="D76" s="284">
        <v>5011750</v>
      </c>
      <c r="E76" s="284">
        <v>4911750</v>
      </c>
      <c r="F76" s="288">
        <v>1020</v>
      </c>
      <c r="G76" s="288">
        <v>22</v>
      </c>
      <c r="H76" s="284">
        <v>5020700</v>
      </c>
      <c r="I76" s="289">
        <v>4920700</v>
      </c>
      <c r="J76" s="286">
        <v>4088</v>
      </c>
      <c r="K76" s="287">
        <v>21</v>
      </c>
      <c r="L76" s="287">
        <v>5044156</v>
      </c>
      <c r="M76" s="287">
        <v>4944156</v>
      </c>
      <c r="N76" s="287">
        <v>4315</v>
      </c>
      <c r="O76" s="287">
        <v>21</v>
      </c>
      <c r="P76" s="287">
        <v>5044164</v>
      </c>
      <c r="Q76" s="287">
        <v>4944164</v>
      </c>
      <c r="R76" s="89"/>
      <c r="S76" s="79"/>
      <c r="T76" s="172"/>
    </row>
    <row r="77" spans="1:20" hidden="1" x14ac:dyDescent="0.2">
      <c r="A77" s="279"/>
      <c r="B77" s="291">
        <v>1020</v>
      </c>
      <c r="C77" s="288">
        <v>22</v>
      </c>
      <c r="D77" s="284">
        <v>5020700</v>
      </c>
      <c r="E77" s="284">
        <v>4920700</v>
      </c>
      <c r="F77" s="288">
        <v>1081</v>
      </c>
      <c r="G77" s="288">
        <v>22</v>
      </c>
      <c r="H77" s="284">
        <v>5020740</v>
      </c>
      <c r="I77" s="289">
        <v>4920740</v>
      </c>
      <c r="J77" s="286">
        <v>4315</v>
      </c>
      <c r="K77" s="287">
        <v>21</v>
      </c>
      <c r="L77" s="287">
        <v>5044164</v>
      </c>
      <c r="M77" s="287">
        <v>4944164</v>
      </c>
      <c r="N77" s="287">
        <v>4542</v>
      </c>
      <c r="O77" s="287">
        <v>22</v>
      </c>
      <c r="P77" s="287">
        <v>5044168</v>
      </c>
      <c r="Q77" s="287">
        <v>4944168</v>
      </c>
      <c r="R77" s="89"/>
      <c r="S77" s="79"/>
      <c r="T77" s="172"/>
    </row>
    <row r="78" spans="1:20" hidden="1" x14ac:dyDescent="0.2">
      <c r="A78" s="279"/>
      <c r="B78" s="291">
        <v>1081</v>
      </c>
      <c r="C78" s="288">
        <v>22</v>
      </c>
      <c r="D78" s="284">
        <v>5020740</v>
      </c>
      <c r="E78" s="284">
        <v>4920740</v>
      </c>
      <c r="F78" s="288">
        <v>1195</v>
      </c>
      <c r="G78" s="288">
        <v>22</v>
      </c>
      <c r="H78" s="284">
        <v>5020770</v>
      </c>
      <c r="I78" s="289">
        <v>4920770</v>
      </c>
      <c r="J78" s="286">
        <v>4542</v>
      </c>
      <c r="K78" s="287">
        <v>22</v>
      </c>
      <c r="L78" s="287">
        <v>5044168</v>
      </c>
      <c r="M78" s="287">
        <v>4944168</v>
      </c>
      <c r="N78" s="287">
        <v>4769</v>
      </c>
      <c r="O78" s="287">
        <v>22</v>
      </c>
      <c r="P78" s="287">
        <v>5044173</v>
      </c>
      <c r="Q78" s="287">
        <v>4944173</v>
      </c>
      <c r="R78" s="89"/>
      <c r="S78" s="79"/>
      <c r="T78" s="172"/>
    </row>
    <row r="79" spans="1:20" hidden="1" x14ac:dyDescent="0.2">
      <c r="A79" s="279"/>
      <c r="B79" s="291">
        <v>1195</v>
      </c>
      <c r="C79" s="288">
        <v>22</v>
      </c>
      <c r="D79" s="284">
        <v>5020770</v>
      </c>
      <c r="E79" s="284">
        <v>4920770</v>
      </c>
      <c r="F79" s="288">
        <v>1335</v>
      </c>
      <c r="G79" s="288">
        <v>23</v>
      </c>
      <c r="H79" s="284">
        <v>5020820</v>
      </c>
      <c r="I79" s="289">
        <v>4920820</v>
      </c>
      <c r="J79" s="286">
        <v>4769</v>
      </c>
      <c r="K79" s="287">
        <v>22</v>
      </c>
      <c r="L79" s="287">
        <v>5044173</v>
      </c>
      <c r="M79" s="287">
        <v>4944173</v>
      </c>
      <c r="N79" s="287">
        <v>4996</v>
      </c>
      <c r="O79" s="287">
        <v>23</v>
      </c>
      <c r="P79" s="287">
        <v>5044176</v>
      </c>
      <c r="Q79" s="287">
        <v>4944176</v>
      </c>
      <c r="R79" s="89"/>
      <c r="S79" s="79"/>
      <c r="T79" s="172"/>
    </row>
    <row r="80" spans="1:20" hidden="1" x14ac:dyDescent="0.2">
      <c r="A80" s="279"/>
      <c r="B80" s="291">
        <v>1335</v>
      </c>
      <c r="C80" s="288">
        <v>23</v>
      </c>
      <c r="D80" s="284">
        <v>5020820</v>
      </c>
      <c r="E80" s="284">
        <v>4920820</v>
      </c>
      <c r="F80" s="288">
        <v>1483</v>
      </c>
      <c r="G80" s="288">
        <v>23</v>
      </c>
      <c r="H80" s="284">
        <v>5020860</v>
      </c>
      <c r="I80" s="289">
        <v>4920860</v>
      </c>
      <c r="J80" s="286">
        <v>4996</v>
      </c>
      <c r="K80" s="287">
        <v>23</v>
      </c>
      <c r="L80" s="287">
        <v>5044176</v>
      </c>
      <c r="M80" s="287">
        <v>4944176</v>
      </c>
      <c r="N80" s="287">
        <v>5450</v>
      </c>
      <c r="O80" s="287">
        <v>24</v>
      </c>
      <c r="P80" s="287">
        <v>5044182</v>
      </c>
      <c r="Q80" s="287">
        <v>4944182</v>
      </c>
      <c r="R80" s="89"/>
      <c r="S80" s="79"/>
      <c r="T80" s="172"/>
    </row>
    <row r="81" spans="1:20" hidden="1" x14ac:dyDescent="0.2">
      <c r="A81" s="279"/>
      <c r="B81" s="291">
        <v>1483</v>
      </c>
      <c r="C81" s="288">
        <v>23</v>
      </c>
      <c r="D81" s="284">
        <v>5020860</v>
      </c>
      <c r="E81" s="284">
        <v>4920860</v>
      </c>
      <c r="F81" s="288">
        <v>1581</v>
      </c>
      <c r="G81" s="288">
        <v>23</v>
      </c>
      <c r="H81" s="284">
        <v>5020880</v>
      </c>
      <c r="I81" s="289">
        <v>4920880</v>
      </c>
      <c r="J81" s="286">
        <v>5450</v>
      </c>
      <c r="K81" s="287">
        <v>24</v>
      </c>
      <c r="L81" s="287">
        <v>5044182</v>
      </c>
      <c r="M81" s="287">
        <v>4944182</v>
      </c>
      <c r="N81" s="287">
        <v>5905</v>
      </c>
      <c r="O81" s="287">
        <v>25</v>
      </c>
      <c r="P81" s="287">
        <v>5044191</v>
      </c>
      <c r="Q81" s="287">
        <v>4944191</v>
      </c>
      <c r="R81" s="89"/>
      <c r="S81" s="79"/>
      <c r="T81" s="172"/>
    </row>
    <row r="82" spans="1:20" hidden="1" x14ac:dyDescent="0.2">
      <c r="A82" s="279"/>
      <c r="B82" s="291">
        <v>1581</v>
      </c>
      <c r="C82" s="288">
        <v>23</v>
      </c>
      <c r="D82" s="284">
        <v>5020880</v>
      </c>
      <c r="E82" s="284">
        <v>4920880</v>
      </c>
      <c r="F82" s="288">
        <v>1774</v>
      </c>
      <c r="G82" s="288">
        <v>24</v>
      </c>
      <c r="H82" s="284">
        <v>5020920</v>
      </c>
      <c r="I82" s="289">
        <v>4920920</v>
      </c>
      <c r="J82" s="286">
        <v>5905</v>
      </c>
      <c r="K82" s="287">
        <v>25</v>
      </c>
      <c r="L82" s="287">
        <v>5044191</v>
      </c>
      <c r="M82" s="287">
        <v>4944191</v>
      </c>
      <c r="N82" s="287">
        <v>6539</v>
      </c>
      <c r="O82" s="287">
        <v>26</v>
      </c>
      <c r="P82" s="287">
        <v>5044194</v>
      </c>
      <c r="Q82" s="287">
        <v>4944194</v>
      </c>
      <c r="R82" s="89"/>
      <c r="S82" s="79"/>
      <c r="T82" s="172"/>
    </row>
    <row r="83" spans="1:20" hidden="1" x14ac:dyDescent="0.2">
      <c r="A83" s="279"/>
      <c r="B83" s="291">
        <v>1774</v>
      </c>
      <c r="C83" s="288">
        <v>24</v>
      </c>
      <c r="D83" s="284">
        <v>5020920</v>
      </c>
      <c r="E83" s="284">
        <v>4920920</v>
      </c>
      <c r="F83" s="288">
        <v>1883</v>
      </c>
      <c r="G83" s="288">
        <v>24</v>
      </c>
      <c r="H83" s="284">
        <v>5020940</v>
      </c>
      <c r="I83" s="289">
        <v>4920940</v>
      </c>
      <c r="J83" s="286">
        <v>6539</v>
      </c>
      <c r="K83" s="287">
        <v>26</v>
      </c>
      <c r="L83" s="287">
        <v>5044194</v>
      </c>
      <c r="M83" s="287">
        <v>4944194</v>
      </c>
      <c r="N83" s="287">
        <v>6831</v>
      </c>
      <c r="O83" s="287">
        <v>27</v>
      </c>
      <c r="P83" s="287">
        <v>5044200</v>
      </c>
      <c r="Q83" s="287">
        <v>4944200</v>
      </c>
      <c r="R83" s="89"/>
      <c r="S83" s="79"/>
      <c r="T83" s="172"/>
    </row>
    <row r="84" spans="1:20" hidden="1" x14ac:dyDescent="0.2">
      <c r="A84" s="279"/>
      <c r="B84" s="291">
        <v>1883</v>
      </c>
      <c r="C84" s="288">
        <v>24</v>
      </c>
      <c r="D84" s="284">
        <v>5020940</v>
      </c>
      <c r="E84" s="284">
        <v>4920940</v>
      </c>
      <c r="F84" s="288">
        <v>2080</v>
      </c>
      <c r="G84" s="288">
        <v>25</v>
      </c>
      <c r="H84" s="284">
        <v>5020990</v>
      </c>
      <c r="I84" s="289">
        <v>4920990</v>
      </c>
      <c r="J84" s="286">
        <v>6831</v>
      </c>
      <c r="K84" s="287">
        <v>27</v>
      </c>
      <c r="L84" s="287">
        <v>5044200</v>
      </c>
      <c r="M84" s="287">
        <v>4944200</v>
      </c>
      <c r="N84" s="287">
        <v>7267</v>
      </c>
      <c r="O84" s="287">
        <v>28</v>
      </c>
      <c r="P84" s="287">
        <v>5044205</v>
      </c>
      <c r="Q84" s="287">
        <v>4944205</v>
      </c>
      <c r="R84" s="89"/>
      <c r="S84" s="79"/>
      <c r="T84" s="172"/>
    </row>
    <row r="85" spans="1:20" hidden="1" x14ac:dyDescent="0.2">
      <c r="A85" s="279"/>
      <c r="B85" s="291">
        <v>2080</v>
      </c>
      <c r="C85" s="288">
        <v>25</v>
      </c>
      <c r="D85" s="284">
        <v>5020990</v>
      </c>
      <c r="E85" s="284">
        <v>4920990</v>
      </c>
      <c r="F85" s="288">
        <v>2251</v>
      </c>
      <c r="G85" s="288">
        <v>26</v>
      </c>
      <c r="H85" s="284">
        <v>5021030</v>
      </c>
      <c r="I85" s="289">
        <v>4921030</v>
      </c>
      <c r="J85" s="286">
        <v>7267</v>
      </c>
      <c r="K85" s="287">
        <v>28</v>
      </c>
      <c r="L85" s="287">
        <v>5044205</v>
      </c>
      <c r="M85" s="287">
        <v>4944205</v>
      </c>
      <c r="N85" s="287">
        <v>7721</v>
      </c>
      <c r="O85" s="287">
        <v>30</v>
      </c>
      <c r="P85" s="287">
        <v>5044211</v>
      </c>
      <c r="Q85" s="287">
        <v>4944211</v>
      </c>
      <c r="R85" s="89"/>
      <c r="S85" s="79"/>
      <c r="T85" s="172"/>
    </row>
    <row r="86" spans="1:20" hidden="1" x14ac:dyDescent="0.2">
      <c r="A86" s="279"/>
      <c r="B86" s="291">
        <v>2251</v>
      </c>
      <c r="C86" s="288">
        <v>26</v>
      </c>
      <c r="D86" s="284">
        <v>5021030</v>
      </c>
      <c r="E86" s="284">
        <v>4921030</v>
      </c>
      <c r="F86" s="288">
        <v>2319</v>
      </c>
      <c r="G86" s="288">
        <v>27</v>
      </c>
      <c r="H86" s="284">
        <v>5021060</v>
      </c>
      <c r="I86" s="289">
        <v>4921060</v>
      </c>
      <c r="J86" s="286">
        <v>7721</v>
      </c>
      <c r="K86" s="287">
        <v>30</v>
      </c>
      <c r="L86" s="287">
        <v>5044211</v>
      </c>
      <c r="M86" s="287">
        <v>4944211</v>
      </c>
      <c r="N86" s="287">
        <v>8176</v>
      </c>
      <c r="O86" s="287">
        <v>31</v>
      </c>
      <c r="P86" s="287">
        <v>5044217</v>
      </c>
      <c r="Q86" s="287">
        <v>4944217</v>
      </c>
      <c r="R86" s="89"/>
      <c r="S86" s="79"/>
      <c r="T86" s="172"/>
    </row>
    <row r="87" spans="1:20" hidden="1" x14ac:dyDescent="0.2">
      <c r="A87" s="279"/>
      <c r="B87" s="291">
        <v>2319</v>
      </c>
      <c r="C87" s="288">
        <v>27</v>
      </c>
      <c r="D87" s="284">
        <v>5021060</v>
      </c>
      <c r="E87" s="284">
        <v>4921060</v>
      </c>
      <c r="F87" s="288">
        <v>2448</v>
      </c>
      <c r="G87" s="288">
        <v>28</v>
      </c>
      <c r="H87" s="284">
        <v>5021090</v>
      </c>
      <c r="I87" s="289">
        <v>4921090</v>
      </c>
      <c r="J87" s="286">
        <v>8176</v>
      </c>
      <c r="K87" s="287">
        <v>31</v>
      </c>
      <c r="L87" s="287">
        <v>5044217</v>
      </c>
      <c r="M87" s="287">
        <v>4944217</v>
      </c>
      <c r="N87" s="287">
        <v>8630</v>
      </c>
      <c r="O87" s="287">
        <v>33</v>
      </c>
      <c r="P87" s="287">
        <v>5044222</v>
      </c>
      <c r="Q87" s="287">
        <v>4944222</v>
      </c>
      <c r="R87" s="89"/>
      <c r="S87" s="79"/>
      <c r="T87" s="172"/>
    </row>
    <row r="88" spans="1:20" ht="13.5" hidden="1" thickBot="1" x14ac:dyDescent="0.25">
      <c r="A88" s="279"/>
      <c r="B88" s="294">
        <v>2448</v>
      </c>
      <c r="C88" s="49">
        <v>28</v>
      </c>
      <c r="D88" s="295">
        <v>5021090</v>
      </c>
      <c r="E88" s="295">
        <v>4921090</v>
      </c>
      <c r="F88" s="288">
        <v>2448</v>
      </c>
      <c r="G88" s="288">
        <v>28</v>
      </c>
      <c r="H88" s="284">
        <v>5021090</v>
      </c>
      <c r="I88" s="289">
        <v>4921090</v>
      </c>
      <c r="J88" s="286">
        <v>8630</v>
      </c>
      <c r="K88" s="287">
        <v>33</v>
      </c>
      <c r="L88" s="287">
        <v>5044222</v>
      </c>
      <c r="M88" s="287">
        <v>4944222</v>
      </c>
      <c r="N88" s="287">
        <v>9084</v>
      </c>
      <c r="O88" s="287">
        <v>34</v>
      </c>
      <c r="P88" s="287">
        <v>5044229</v>
      </c>
      <c r="Q88" s="287">
        <v>4944229</v>
      </c>
      <c r="R88" s="89"/>
      <c r="S88" s="79"/>
      <c r="T88" s="172"/>
    </row>
    <row r="89" spans="1:20" hidden="1" x14ac:dyDescent="0.2">
      <c r="A89" s="279"/>
      <c r="B89" s="79"/>
      <c r="C89" s="79"/>
      <c r="D89" s="79"/>
      <c r="E89" s="79"/>
      <c r="F89" s="79"/>
      <c r="G89" s="79"/>
      <c r="H89" s="79"/>
      <c r="I89" s="79"/>
      <c r="J89" s="286">
        <v>9084</v>
      </c>
      <c r="K89" s="287">
        <v>34</v>
      </c>
      <c r="L89" s="287">
        <v>5044229</v>
      </c>
      <c r="M89" s="287">
        <v>4944229</v>
      </c>
      <c r="N89" s="287">
        <v>9538</v>
      </c>
      <c r="O89" s="287">
        <v>36</v>
      </c>
      <c r="P89" s="287">
        <v>5044235</v>
      </c>
      <c r="Q89" s="287">
        <v>4944235</v>
      </c>
      <c r="R89" s="89"/>
      <c r="S89" s="79"/>
      <c r="T89" s="172"/>
    </row>
    <row r="90" spans="1:20" hidden="1" x14ac:dyDescent="0.2">
      <c r="A90" s="279"/>
      <c r="B90" s="79"/>
      <c r="C90" s="79"/>
      <c r="D90" s="79"/>
      <c r="E90" s="79"/>
      <c r="F90" s="79"/>
      <c r="G90" s="79"/>
      <c r="H90" s="79"/>
      <c r="I90" s="79"/>
      <c r="J90" s="286">
        <v>9538</v>
      </c>
      <c r="K90" s="287">
        <v>36</v>
      </c>
      <c r="L90" s="287">
        <v>5044235</v>
      </c>
      <c r="M90" s="287">
        <v>4944235</v>
      </c>
      <c r="N90" s="287">
        <v>9990</v>
      </c>
      <c r="O90" s="287">
        <v>38</v>
      </c>
      <c r="P90" s="287">
        <v>5044241</v>
      </c>
      <c r="Q90" s="287">
        <v>4944241</v>
      </c>
      <c r="R90" s="89"/>
      <c r="S90" s="79"/>
      <c r="T90" s="172"/>
    </row>
    <row r="91" spans="1:20" hidden="1" x14ac:dyDescent="0.2">
      <c r="A91" s="279"/>
      <c r="B91" s="79"/>
      <c r="C91" s="79"/>
      <c r="D91" s="79"/>
      <c r="E91" s="79"/>
      <c r="F91" s="79"/>
      <c r="G91" s="79"/>
      <c r="H91" s="79"/>
      <c r="I91" s="79"/>
      <c r="J91" s="286">
        <v>9990</v>
      </c>
      <c r="K91" s="287">
        <v>38</v>
      </c>
      <c r="L91" s="287">
        <v>5044241</v>
      </c>
      <c r="M91" s="287">
        <v>4944241</v>
      </c>
      <c r="N91" s="287">
        <v>10445</v>
      </c>
      <c r="O91" s="287">
        <v>40</v>
      </c>
      <c r="P91" s="287">
        <v>5044248</v>
      </c>
      <c r="Q91" s="287">
        <v>4944248</v>
      </c>
      <c r="R91" s="89"/>
      <c r="S91" s="79"/>
      <c r="T91" s="172"/>
    </row>
    <row r="92" spans="1:20" hidden="1" x14ac:dyDescent="0.2">
      <c r="A92" s="279"/>
      <c r="B92" s="79"/>
      <c r="C92" s="79"/>
      <c r="D92" s="79"/>
      <c r="E92" s="79"/>
      <c r="F92" s="79"/>
      <c r="G92" s="79"/>
      <c r="H92" s="79"/>
      <c r="I92" s="79"/>
      <c r="J92" s="286">
        <v>10445</v>
      </c>
      <c r="K92" s="287">
        <v>40</v>
      </c>
      <c r="L92" s="287">
        <v>5044248</v>
      </c>
      <c r="M92" s="287">
        <v>4944248</v>
      </c>
      <c r="N92" s="287">
        <v>10900</v>
      </c>
      <c r="O92" s="287">
        <v>42</v>
      </c>
      <c r="P92" s="287">
        <v>5044250</v>
      </c>
      <c r="Q92" s="287">
        <v>4944250</v>
      </c>
      <c r="R92" s="89"/>
      <c r="S92" s="79"/>
      <c r="T92" s="172"/>
    </row>
    <row r="93" spans="1:20" ht="13.5" hidden="1" thickBot="1" x14ac:dyDescent="0.25">
      <c r="A93" s="279"/>
      <c r="B93" s="79"/>
      <c r="C93" s="79"/>
      <c r="D93" s="79"/>
      <c r="E93" s="79"/>
      <c r="F93" s="79"/>
      <c r="G93" s="79"/>
      <c r="H93" s="79"/>
      <c r="I93" s="79"/>
      <c r="J93" s="286">
        <v>10900</v>
      </c>
      <c r="K93" s="287">
        <v>42</v>
      </c>
      <c r="L93" s="287">
        <v>5044250</v>
      </c>
      <c r="M93" s="287">
        <v>4944250</v>
      </c>
      <c r="N93" s="287">
        <v>11355</v>
      </c>
      <c r="O93" s="287">
        <v>44</v>
      </c>
      <c r="P93" s="296">
        <v>5044262</v>
      </c>
      <c r="Q93" s="296">
        <v>4944262</v>
      </c>
      <c r="R93" s="89"/>
      <c r="S93" s="79"/>
      <c r="T93" s="172"/>
    </row>
    <row r="94" spans="1:20" ht="13.5" hidden="1" thickBot="1" x14ac:dyDescent="0.25">
      <c r="A94" s="279"/>
      <c r="B94" s="79"/>
      <c r="C94" s="79"/>
      <c r="D94" s="79"/>
      <c r="E94" s="79"/>
      <c r="F94" s="79"/>
      <c r="G94" s="79"/>
      <c r="H94" s="79"/>
      <c r="I94" s="79"/>
      <c r="J94" s="297">
        <v>11355</v>
      </c>
      <c r="K94" s="296">
        <v>44</v>
      </c>
      <c r="L94" s="296">
        <v>5044262</v>
      </c>
      <c r="M94" s="296">
        <v>4944262</v>
      </c>
      <c r="N94" s="287">
        <v>11355</v>
      </c>
      <c r="O94" s="287">
        <v>44</v>
      </c>
      <c r="P94" s="296">
        <v>5044262</v>
      </c>
      <c r="Q94" s="296">
        <v>4944262</v>
      </c>
      <c r="R94" s="89"/>
      <c r="S94" s="79"/>
      <c r="T94" s="172"/>
    </row>
    <row r="95" spans="1:20" ht="13.5" hidden="1" thickBot="1" x14ac:dyDescent="0.25">
      <c r="A95" s="279"/>
      <c r="B95" s="83"/>
      <c r="C95" s="79"/>
      <c r="D95" s="107"/>
      <c r="E95" s="107"/>
      <c r="F95" s="206"/>
      <c r="G95" s="191"/>
      <c r="H95" s="107"/>
      <c r="I95" s="89"/>
      <c r="J95" s="89"/>
      <c r="K95" s="89"/>
      <c r="L95" s="89"/>
      <c r="M95" s="79"/>
      <c r="N95" s="79"/>
      <c r="O95" s="79"/>
      <c r="P95" s="89"/>
      <c r="Q95" s="89"/>
      <c r="R95" s="89"/>
      <c r="S95" s="79"/>
      <c r="T95" s="172"/>
    </row>
    <row r="96" spans="1:20" hidden="1" x14ac:dyDescent="0.2">
      <c r="A96" s="279"/>
      <c r="B96" s="83"/>
      <c r="C96" s="637"/>
      <c r="D96" s="638"/>
      <c r="E96" s="638"/>
      <c r="F96" s="650"/>
      <c r="G96" s="84"/>
      <c r="H96" s="637"/>
      <c r="I96" s="638"/>
      <c r="J96" s="638"/>
      <c r="K96" s="650"/>
      <c r="L96" s="79"/>
      <c r="M96" s="79"/>
      <c r="N96" s="79"/>
      <c r="O96" s="79"/>
      <c r="P96" s="89"/>
      <c r="Q96" s="89"/>
      <c r="R96" s="89"/>
      <c r="S96" s="79"/>
      <c r="T96" s="172"/>
    </row>
    <row r="97" spans="1:20" hidden="1" x14ac:dyDescent="0.2">
      <c r="A97" s="279"/>
      <c r="B97" s="78"/>
      <c r="C97" s="298"/>
      <c r="D97" s="299"/>
      <c r="E97" s="645"/>
      <c r="F97" s="646"/>
      <c r="G97" s="89"/>
      <c r="H97" s="298"/>
      <c r="I97" s="299"/>
      <c r="J97" s="645"/>
      <c r="K97" s="646"/>
      <c r="L97" s="79"/>
      <c r="M97" s="79"/>
      <c r="N97" s="79"/>
      <c r="O97" s="79"/>
      <c r="P97" s="89"/>
      <c r="Q97" s="89"/>
      <c r="R97" s="89"/>
      <c r="S97" s="79"/>
      <c r="T97" s="172"/>
    </row>
    <row r="98" spans="1:20" hidden="1" x14ac:dyDescent="0.2">
      <c r="A98" s="279"/>
      <c r="B98" s="300"/>
      <c r="C98" s="249"/>
      <c r="D98" s="301"/>
      <c r="E98" s="302"/>
      <c r="F98" s="303"/>
      <c r="G98" s="79"/>
      <c r="H98" s="249"/>
      <c r="I98" s="301"/>
      <c r="J98" s="302"/>
      <c r="K98" s="303"/>
      <c r="L98" s="79"/>
      <c r="M98" s="79"/>
      <c r="N98" s="79"/>
      <c r="O98" s="79"/>
      <c r="P98" s="89"/>
      <c r="Q98" s="89"/>
      <c r="R98" s="89"/>
      <c r="S98" s="79"/>
      <c r="T98" s="172"/>
    </row>
    <row r="99" spans="1:20" hidden="1" x14ac:dyDescent="0.2">
      <c r="A99" s="304"/>
      <c r="B99" s="83"/>
      <c r="C99" s="305"/>
      <c r="D99" s="306"/>
      <c r="E99" s="307"/>
      <c r="F99" s="308"/>
      <c r="G99" s="309"/>
      <c r="H99" s="305"/>
      <c r="I99" s="306"/>
      <c r="J99" s="307"/>
      <c r="K99" s="308"/>
      <c r="L99" s="79"/>
      <c r="M99" s="79"/>
      <c r="N99" s="79"/>
      <c r="O99" s="79"/>
      <c r="P99" s="89"/>
      <c r="Q99" s="89"/>
      <c r="R99" s="89"/>
      <c r="S99" s="79"/>
      <c r="T99" s="172"/>
    </row>
    <row r="100" spans="1:20" ht="13.5" hidden="1" thickBot="1" x14ac:dyDescent="0.25">
      <c r="A100" s="304"/>
      <c r="B100" s="83"/>
      <c r="C100" s="310"/>
      <c r="D100" s="311"/>
      <c r="E100" s="312"/>
      <c r="F100" s="313"/>
      <c r="G100" s="309"/>
      <c r="H100" s="314"/>
      <c r="I100" s="311"/>
      <c r="J100" s="312"/>
      <c r="K100" s="313"/>
      <c r="L100" s="79"/>
      <c r="M100" s="79"/>
      <c r="N100" s="79"/>
      <c r="O100" s="79"/>
      <c r="P100" s="89"/>
      <c r="Q100" s="89"/>
      <c r="R100" s="89"/>
      <c r="S100" s="79"/>
      <c r="T100" s="172"/>
    </row>
    <row r="101" spans="1:20" hidden="1" x14ac:dyDescent="0.2">
      <c r="A101" s="304"/>
      <c r="B101" s="84"/>
      <c r="C101" s="208"/>
      <c r="D101" s="208"/>
      <c r="E101" s="208"/>
      <c r="F101" s="210"/>
      <c r="G101" s="315"/>
      <c r="H101" s="208"/>
      <c r="I101" s="89"/>
      <c r="J101" s="89"/>
      <c r="K101" s="89"/>
      <c r="L101" s="79"/>
      <c r="M101" s="79"/>
      <c r="N101" s="79"/>
      <c r="O101" s="79"/>
      <c r="P101" s="79"/>
      <c r="Q101" s="79"/>
      <c r="R101" s="79"/>
      <c r="S101" s="79"/>
      <c r="T101" s="172"/>
    </row>
    <row r="102" spans="1:20" hidden="1" x14ac:dyDescent="0.2">
      <c r="A102" s="304"/>
      <c r="B102" s="173"/>
      <c r="C102" s="173"/>
      <c r="D102" s="79"/>
      <c r="E102" s="79"/>
      <c r="F102" s="173"/>
      <c r="G102" s="173"/>
      <c r="H102" s="173"/>
      <c r="I102" s="79"/>
      <c r="J102" s="79"/>
      <c r="K102" s="79"/>
      <c r="L102" s="79"/>
      <c r="M102" s="79"/>
      <c r="N102" s="79"/>
      <c r="O102" s="79"/>
      <c r="P102" s="79"/>
      <c r="Q102" s="79"/>
      <c r="R102" s="79"/>
      <c r="S102" s="79"/>
      <c r="T102" s="172"/>
    </row>
    <row r="103" spans="1:20" ht="13.5" thickTop="1" x14ac:dyDescent="0.2">
      <c r="A103" s="173"/>
      <c r="B103" s="173"/>
      <c r="C103" s="173"/>
      <c r="D103" s="183"/>
      <c r="E103" s="183"/>
      <c r="F103" s="173"/>
      <c r="G103" s="173"/>
      <c r="H103" s="173"/>
      <c r="I103" s="183"/>
      <c r="J103" s="183"/>
      <c r="K103" s="79"/>
      <c r="L103" s="79"/>
      <c r="M103" s="79"/>
      <c r="N103" s="79"/>
      <c r="O103" s="79"/>
      <c r="P103" s="79"/>
      <c r="Q103" s="79"/>
      <c r="R103" s="79"/>
      <c r="S103" s="79"/>
      <c r="T103" s="172"/>
    </row>
    <row r="104" spans="1:20" x14ac:dyDescent="0.2">
      <c r="A104" s="173"/>
      <c r="B104" s="173"/>
      <c r="C104" s="173"/>
      <c r="D104" s="183"/>
      <c r="E104" s="183"/>
      <c r="F104" s="173"/>
      <c r="G104" s="173"/>
      <c r="H104" s="173"/>
      <c r="I104" s="183"/>
      <c r="J104" s="183"/>
      <c r="K104" s="79"/>
      <c r="L104" s="79"/>
      <c r="M104" s="79"/>
      <c r="N104" s="79"/>
      <c r="O104" s="79"/>
      <c r="P104" s="79"/>
      <c r="Q104" s="79"/>
      <c r="R104" s="79"/>
      <c r="S104" s="79"/>
      <c r="T104" s="172"/>
    </row>
    <row r="105" spans="1:20" x14ac:dyDescent="0.2">
      <c r="A105" s="173"/>
      <c r="B105" s="173"/>
      <c r="C105" s="173"/>
      <c r="D105" s="183"/>
      <c r="E105" s="183"/>
      <c r="F105" s="173"/>
      <c r="G105" s="173"/>
      <c r="H105" s="173"/>
      <c r="I105" s="183"/>
      <c r="J105" s="183"/>
      <c r="K105" s="79"/>
      <c r="L105" s="79"/>
      <c r="M105" s="79"/>
      <c r="N105" s="79"/>
      <c r="O105" s="79"/>
      <c r="P105" s="79"/>
      <c r="Q105" s="79"/>
      <c r="R105" s="79"/>
      <c r="S105" s="79"/>
      <c r="T105" s="172"/>
    </row>
    <row r="106" spans="1:20" ht="13.5" thickBot="1" x14ac:dyDescent="0.25">
      <c r="A106" s="79"/>
      <c r="B106" s="79"/>
      <c r="C106" s="79"/>
      <c r="D106" s="79"/>
      <c r="E106" s="79"/>
      <c r="F106" s="173"/>
      <c r="G106" s="173"/>
      <c r="H106" s="173"/>
      <c r="I106" s="183"/>
      <c r="J106" s="183"/>
      <c r="K106" s="79"/>
      <c r="L106" s="79"/>
      <c r="M106" s="79"/>
      <c r="N106" s="79"/>
      <c r="O106" s="79"/>
      <c r="P106" s="276"/>
      <c r="Q106" s="276"/>
      <c r="R106" s="276"/>
      <c r="S106" s="276"/>
      <c r="T106" s="277"/>
    </row>
    <row r="107" spans="1:20" x14ac:dyDescent="0.2">
      <c r="A107" s="79"/>
      <c r="B107" s="79"/>
      <c r="C107" s="79"/>
      <c r="D107" s="79"/>
      <c r="E107" s="79"/>
      <c r="F107" s="79"/>
      <c r="G107" s="79"/>
      <c r="H107" s="79"/>
      <c r="I107" s="79"/>
      <c r="J107" s="79"/>
      <c r="K107" s="79"/>
      <c r="L107" s="79"/>
      <c r="M107" s="79"/>
      <c r="N107" s="79"/>
      <c r="O107" s="79"/>
    </row>
    <row r="108" spans="1:20" x14ac:dyDescent="0.2">
      <c r="A108" s="79"/>
      <c r="B108" s="269"/>
      <c r="C108" s="79"/>
      <c r="D108" s="79"/>
      <c r="E108" s="79"/>
      <c r="F108" s="79"/>
      <c r="G108" s="79"/>
      <c r="H108" s="79"/>
      <c r="I108" s="79"/>
      <c r="J108" s="176"/>
      <c r="K108" s="79"/>
      <c r="L108" s="79"/>
      <c r="M108" s="79"/>
      <c r="N108" s="79"/>
      <c r="O108" s="79"/>
    </row>
    <row r="109" spans="1:20" x14ac:dyDescent="0.2">
      <c r="A109" s="79"/>
      <c r="B109" s="79"/>
      <c r="C109" s="79"/>
      <c r="D109" s="79"/>
      <c r="E109" s="79"/>
      <c r="F109" s="79"/>
      <c r="G109" s="79"/>
      <c r="H109" s="79"/>
      <c r="I109" s="79"/>
      <c r="J109" s="79"/>
      <c r="K109" s="79"/>
      <c r="L109" s="79"/>
      <c r="M109" s="79"/>
      <c r="N109" s="79"/>
      <c r="O109" s="79"/>
    </row>
    <row r="110" spans="1:20" x14ac:dyDescent="0.2">
      <c r="A110" s="79"/>
      <c r="B110" s="269"/>
      <c r="C110" s="79"/>
      <c r="D110" s="79"/>
      <c r="E110" s="79"/>
      <c r="F110" s="79"/>
      <c r="G110" s="79"/>
      <c r="H110" s="79"/>
      <c r="I110" s="79"/>
      <c r="J110" s="79"/>
      <c r="K110" s="79"/>
      <c r="L110" s="79"/>
      <c r="M110" s="79"/>
      <c r="N110" s="79"/>
      <c r="O110" s="79"/>
    </row>
    <row r="111" spans="1:20" x14ac:dyDescent="0.2">
      <c r="A111" s="79"/>
      <c r="B111" s="79"/>
      <c r="C111" s="79"/>
      <c r="D111" s="79"/>
      <c r="E111" s="79"/>
      <c r="F111" s="79"/>
      <c r="G111" s="79"/>
      <c r="H111" s="79"/>
      <c r="I111" s="79"/>
      <c r="J111" s="79"/>
      <c r="K111" s="79"/>
      <c r="L111" s="79"/>
      <c r="M111" s="176"/>
      <c r="N111" s="79"/>
      <c r="O111" s="79"/>
    </row>
    <row r="112" spans="1:20" x14ac:dyDescent="0.2">
      <c r="A112" s="79"/>
      <c r="B112" s="79"/>
      <c r="C112" s="79"/>
      <c r="D112" s="79"/>
      <c r="E112" s="79"/>
      <c r="F112" s="79"/>
      <c r="G112" s="79"/>
      <c r="H112" s="79"/>
      <c r="I112" s="79"/>
      <c r="J112" s="79"/>
      <c r="K112" s="79"/>
      <c r="L112" s="79"/>
      <c r="M112" s="79"/>
      <c r="N112" s="79"/>
      <c r="O112" s="79"/>
    </row>
    <row r="113" spans="1:15" x14ac:dyDescent="0.2">
      <c r="A113" s="79"/>
      <c r="B113" s="176"/>
      <c r="C113" s="79"/>
      <c r="D113" s="79"/>
      <c r="E113" s="79"/>
      <c r="F113" s="79"/>
      <c r="G113" s="79"/>
      <c r="H113" s="79"/>
      <c r="I113" s="79"/>
      <c r="J113" s="79"/>
      <c r="K113" s="79"/>
      <c r="L113" s="79"/>
      <c r="M113" s="79"/>
      <c r="N113" s="79"/>
      <c r="O113" s="79"/>
    </row>
    <row r="114" spans="1:15" x14ac:dyDescent="0.2">
      <c r="A114" s="79"/>
      <c r="B114" s="79"/>
      <c r="C114" s="79"/>
      <c r="D114" s="79"/>
      <c r="E114" s="79"/>
      <c r="F114" s="79"/>
      <c r="G114" s="79"/>
      <c r="H114" s="79"/>
      <c r="I114" s="79"/>
      <c r="J114" s="79"/>
      <c r="K114" s="79"/>
      <c r="L114" s="79"/>
      <c r="M114" s="79"/>
      <c r="N114" s="79"/>
      <c r="O114" s="79"/>
    </row>
    <row r="115" spans="1:15" x14ac:dyDescent="0.2">
      <c r="A115" s="79"/>
      <c r="B115" s="79"/>
      <c r="C115" s="79"/>
      <c r="D115" s="79"/>
      <c r="E115" s="79"/>
      <c r="F115" s="79"/>
      <c r="G115" s="79"/>
      <c r="H115" s="79"/>
      <c r="I115" s="79"/>
      <c r="J115" s="79"/>
      <c r="K115" s="79"/>
      <c r="L115" s="79"/>
      <c r="M115" s="79"/>
      <c r="N115" s="79"/>
      <c r="O115" s="79"/>
    </row>
    <row r="116" spans="1:15" x14ac:dyDescent="0.2">
      <c r="A116" s="79"/>
      <c r="B116" s="79"/>
      <c r="C116" s="79"/>
      <c r="D116" s="79"/>
      <c r="E116" s="79"/>
      <c r="F116" s="79"/>
      <c r="G116" s="79"/>
      <c r="H116" s="79"/>
      <c r="I116" s="79"/>
      <c r="J116" s="79"/>
      <c r="K116" s="79"/>
      <c r="L116" s="79"/>
      <c r="M116" s="79"/>
      <c r="N116" s="79"/>
      <c r="O116" s="79"/>
    </row>
    <row r="117" spans="1:15" x14ac:dyDescent="0.2">
      <c r="A117" s="79"/>
      <c r="B117" s="176"/>
      <c r="C117" s="79"/>
      <c r="D117" s="79"/>
      <c r="E117" s="79"/>
      <c r="F117" s="79"/>
      <c r="G117" s="79"/>
      <c r="H117" s="79"/>
      <c r="I117" s="79"/>
      <c r="J117" s="79"/>
      <c r="K117" s="79"/>
      <c r="L117" s="79"/>
      <c r="M117" s="79"/>
      <c r="N117" s="79"/>
      <c r="O117" s="79"/>
    </row>
    <row r="118" spans="1:15" x14ac:dyDescent="0.2">
      <c r="A118" s="79"/>
      <c r="B118" s="79"/>
      <c r="C118" s="79"/>
      <c r="D118" s="79"/>
      <c r="E118" s="79"/>
      <c r="F118" s="79"/>
      <c r="G118" s="79"/>
      <c r="H118" s="79"/>
      <c r="I118" s="79"/>
      <c r="J118" s="79"/>
      <c r="K118" s="79"/>
      <c r="L118" s="79"/>
      <c r="M118" s="79"/>
      <c r="N118" s="79"/>
      <c r="O118" s="79"/>
    </row>
    <row r="119" spans="1:15" x14ac:dyDescent="0.2">
      <c r="A119" s="79"/>
      <c r="B119" s="176"/>
      <c r="C119" s="79"/>
      <c r="D119" s="79"/>
      <c r="E119" s="79"/>
      <c r="F119" s="79"/>
      <c r="G119" s="79"/>
      <c r="H119" s="79"/>
      <c r="I119" s="79"/>
      <c r="J119" s="79"/>
      <c r="K119" s="79"/>
      <c r="L119" s="79"/>
      <c r="M119" s="79"/>
      <c r="N119" s="79"/>
      <c r="O119" s="79"/>
    </row>
    <row r="120" spans="1:15" x14ac:dyDescent="0.2">
      <c r="A120" s="79"/>
      <c r="B120" s="79"/>
      <c r="C120" s="79"/>
      <c r="D120" s="79"/>
      <c r="E120" s="79"/>
      <c r="F120" s="79"/>
      <c r="G120" s="79"/>
      <c r="H120" s="79"/>
      <c r="I120" s="79"/>
      <c r="J120" s="79"/>
      <c r="K120" s="79"/>
      <c r="L120" s="79"/>
      <c r="M120" s="79"/>
      <c r="N120" s="79"/>
      <c r="O120" s="79"/>
    </row>
    <row r="121" spans="1:15" x14ac:dyDescent="0.2">
      <c r="A121" s="79"/>
      <c r="B121" s="79"/>
      <c r="C121" s="79"/>
      <c r="D121" s="79"/>
      <c r="E121" s="79"/>
      <c r="F121" s="79"/>
      <c r="G121" s="79"/>
      <c r="H121" s="79"/>
      <c r="I121" s="79"/>
      <c r="J121" s="79"/>
      <c r="K121" s="79"/>
      <c r="L121" s="79"/>
      <c r="M121" s="79"/>
      <c r="N121" s="79"/>
      <c r="O121" s="79"/>
    </row>
    <row r="122" spans="1:15" x14ac:dyDescent="0.2">
      <c r="A122" s="79"/>
      <c r="B122" s="79"/>
      <c r="C122" s="79"/>
      <c r="D122" s="79"/>
      <c r="E122" s="79"/>
      <c r="F122" s="79"/>
      <c r="G122" s="79"/>
      <c r="H122" s="79"/>
      <c r="I122" s="79"/>
      <c r="J122" s="79"/>
      <c r="K122" s="79"/>
      <c r="L122" s="79"/>
      <c r="M122" s="79"/>
      <c r="N122" s="79"/>
      <c r="O122" s="79"/>
    </row>
    <row r="123" spans="1:15" x14ac:dyDescent="0.2">
      <c r="A123" s="79"/>
      <c r="B123" s="79"/>
      <c r="C123" s="79"/>
      <c r="D123" s="79"/>
      <c r="E123" s="79"/>
      <c r="F123" s="79"/>
      <c r="G123" s="79"/>
      <c r="H123" s="79"/>
      <c r="I123" s="79"/>
      <c r="J123" s="79"/>
      <c r="K123" s="79"/>
      <c r="L123" s="79"/>
      <c r="M123" s="79"/>
      <c r="N123" s="79"/>
      <c r="O123" s="79"/>
    </row>
    <row r="124" spans="1:15" x14ac:dyDescent="0.2">
      <c r="A124" s="79"/>
      <c r="B124" s="79"/>
      <c r="C124" s="79"/>
      <c r="D124" s="79"/>
      <c r="E124" s="79"/>
      <c r="F124" s="79"/>
      <c r="G124" s="79"/>
      <c r="H124" s="79"/>
      <c r="I124" s="79"/>
      <c r="J124" s="79"/>
      <c r="K124" s="79"/>
      <c r="L124" s="79"/>
      <c r="M124" s="79"/>
      <c r="N124" s="79"/>
      <c r="O124" s="79"/>
    </row>
    <row r="125" spans="1:15" x14ac:dyDescent="0.2">
      <c r="A125" s="79"/>
      <c r="B125" s="79"/>
      <c r="C125" s="79"/>
      <c r="D125" s="79"/>
      <c r="E125" s="79"/>
      <c r="F125" s="79"/>
      <c r="G125" s="79"/>
      <c r="H125" s="79"/>
      <c r="I125" s="79"/>
      <c r="J125" s="79"/>
      <c r="K125" s="79"/>
      <c r="L125" s="79"/>
      <c r="M125" s="79"/>
      <c r="N125" s="79"/>
      <c r="O125" s="79"/>
    </row>
  </sheetData>
  <sheetProtection password="9D73" sheet="1"/>
  <mergeCells count="29">
    <mergeCell ref="E97:F97"/>
    <mergeCell ref="J97:K97"/>
    <mergeCell ref="D49:E49"/>
    <mergeCell ref="H49:I49"/>
    <mergeCell ref="L49:M49"/>
    <mergeCell ref="P49:Q49"/>
    <mergeCell ref="C96:F96"/>
    <mergeCell ref="H96:K96"/>
    <mergeCell ref="B47:I47"/>
    <mergeCell ref="J47:Q47"/>
    <mergeCell ref="B48:E48"/>
    <mergeCell ref="F48:I48"/>
    <mergeCell ref="J48:M48"/>
    <mergeCell ref="N48:Q48"/>
    <mergeCell ref="S17:T17"/>
    <mergeCell ref="X17:Y17"/>
    <mergeCell ref="B19:C19"/>
    <mergeCell ref="B33:C33"/>
    <mergeCell ref="D33:G33"/>
    <mergeCell ref="H33:K33"/>
    <mergeCell ref="L33:N33"/>
    <mergeCell ref="H15:I15"/>
    <mergeCell ref="J15:K15"/>
    <mergeCell ref="L15:M15"/>
    <mergeCell ref="Q16:T16"/>
    <mergeCell ref="A1:N3"/>
    <mergeCell ref="V16:Y16"/>
    <mergeCell ref="B5:F5"/>
    <mergeCell ref="B6:F6"/>
  </mergeCells>
  <pageMargins left="0.19685039370078741" right="0" top="0.59055118110236227" bottom="0.39370078740157483"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21"/>
  <sheetViews>
    <sheetView showGridLines="0" zoomScale="90" zoomScaleNormal="90" workbookViewId="0">
      <selection activeCell="B6" sqref="B6"/>
    </sheetView>
  </sheetViews>
  <sheetFormatPr baseColWidth="10" defaultRowHeight="12.75" x14ac:dyDescent="0.2"/>
  <cols>
    <col min="1" max="2" width="11.7109375" style="72" customWidth="1"/>
    <col min="3" max="3" width="9.7109375" style="72" customWidth="1"/>
    <col min="4" max="4" width="8.28515625" style="72" customWidth="1"/>
    <col min="5" max="5" width="10.42578125" style="72" customWidth="1"/>
    <col min="6" max="7" width="9.7109375" style="72" customWidth="1"/>
    <col min="8" max="8" width="23.7109375" style="72" customWidth="1"/>
    <col min="9" max="9" width="10.28515625" style="72" customWidth="1"/>
    <col min="10" max="10" width="8.7109375" style="72" customWidth="1"/>
    <col min="11" max="11" width="13.28515625" style="72" bestFit="1" customWidth="1"/>
    <col min="12" max="12" width="9.7109375" style="72" customWidth="1"/>
    <col min="13" max="13" width="6.5703125" style="72" customWidth="1"/>
    <col min="14" max="14" width="4.7109375" style="72" hidden="1" customWidth="1"/>
    <col min="15" max="15" width="11.140625" style="72" bestFit="1" customWidth="1"/>
    <col min="16" max="16" width="9.28515625" style="72" bestFit="1" customWidth="1"/>
    <col min="17" max="17" width="8.7109375" style="72" customWidth="1"/>
    <col min="18" max="18" width="9.7109375" style="72" customWidth="1"/>
    <col min="19" max="19" width="8.7109375" style="72" customWidth="1"/>
    <col min="20" max="20" width="8.7109375" style="319" customWidth="1"/>
    <col min="21" max="21" width="8.7109375" style="72" customWidth="1"/>
    <col min="22" max="28" width="11.42578125" style="72" customWidth="1"/>
    <col min="29" max="29" width="12.85546875" style="72" bestFit="1" customWidth="1"/>
    <col min="30" max="16384" width="11.42578125" style="72"/>
  </cols>
  <sheetData>
    <row r="1" spans="1:44" ht="25.9" customHeight="1" thickTop="1" x14ac:dyDescent="0.3">
      <c r="A1" s="612" t="s">
        <v>162</v>
      </c>
      <c r="B1" s="613"/>
      <c r="C1" s="613"/>
      <c r="D1" s="613"/>
      <c r="E1" s="613"/>
      <c r="F1" s="613"/>
      <c r="G1" s="613"/>
      <c r="H1" s="613"/>
      <c r="I1" s="613"/>
      <c r="J1" s="613"/>
      <c r="K1" s="613"/>
      <c r="L1" s="613"/>
      <c r="M1" s="613"/>
      <c r="N1" s="613"/>
      <c r="O1" s="613"/>
      <c r="P1" s="613"/>
      <c r="Q1" s="613"/>
      <c r="R1" s="614"/>
      <c r="S1" s="317"/>
      <c r="T1" s="317"/>
      <c r="U1" s="317"/>
      <c r="V1" s="317"/>
      <c r="W1" s="317"/>
      <c r="X1" s="317"/>
      <c r="Y1" s="317"/>
      <c r="Z1" s="317"/>
      <c r="AA1" s="317"/>
      <c r="AB1" s="317"/>
      <c r="AC1" s="317"/>
      <c r="AD1" s="317"/>
      <c r="AE1" s="317"/>
      <c r="AF1" s="317"/>
      <c r="AG1" s="317"/>
      <c r="AH1" s="317"/>
      <c r="AI1" s="89"/>
      <c r="AJ1" s="89"/>
      <c r="AK1" s="89"/>
      <c r="AL1" s="89"/>
      <c r="AM1" s="89"/>
      <c r="AN1" s="89"/>
      <c r="AO1" s="89"/>
      <c r="AP1" s="89"/>
      <c r="AQ1" s="89"/>
      <c r="AR1" s="89"/>
    </row>
    <row r="2" spans="1:44" ht="22.15" customHeight="1" thickBot="1" x14ac:dyDescent="0.25">
      <c r="A2" s="618"/>
      <c r="B2" s="619"/>
      <c r="C2" s="619"/>
      <c r="D2" s="619"/>
      <c r="E2" s="619"/>
      <c r="F2" s="619"/>
      <c r="G2" s="619"/>
      <c r="H2" s="619"/>
      <c r="I2" s="619"/>
      <c r="J2" s="619"/>
      <c r="K2" s="619"/>
      <c r="L2" s="619"/>
      <c r="M2" s="619"/>
      <c r="N2" s="619"/>
      <c r="O2" s="619"/>
      <c r="P2" s="619"/>
      <c r="Q2" s="619"/>
      <c r="R2" s="620"/>
      <c r="S2" s="318"/>
    </row>
    <row r="3" spans="1:44" ht="14.25" thickTop="1" thickBot="1" x14ac:dyDescent="0.25">
      <c r="A3" s="78"/>
      <c r="B3" s="79"/>
      <c r="C3" s="79"/>
      <c r="D3" s="80"/>
      <c r="E3" s="80"/>
      <c r="F3" s="80"/>
      <c r="G3" s="80"/>
      <c r="H3" s="80"/>
      <c r="I3" s="190"/>
      <c r="J3" s="191"/>
      <c r="K3" s="234"/>
      <c r="L3" s="320"/>
      <c r="M3" s="89"/>
      <c r="N3" s="89"/>
      <c r="O3" s="89"/>
      <c r="P3" s="89"/>
      <c r="Q3" s="89"/>
      <c r="R3" s="82"/>
    </row>
    <row r="4" spans="1:44" ht="13.5" thickBot="1" x14ac:dyDescent="0.25">
      <c r="A4" s="474" t="s">
        <v>307</v>
      </c>
      <c r="B4" s="658"/>
      <c r="C4" s="659"/>
      <c r="D4" s="659"/>
      <c r="E4" s="659"/>
      <c r="F4" s="659"/>
      <c r="G4" s="80"/>
      <c r="H4" s="80"/>
      <c r="I4" s="190"/>
      <c r="J4" s="191"/>
      <c r="K4" s="234"/>
      <c r="L4" s="320"/>
      <c r="M4" s="89"/>
      <c r="N4" s="89"/>
      <c r="O4" s="89"/>
      <c r="P4" s="89"/>
      <c r="Q4" s="89"/>
      <c r="R4" s="82"/>
    </row>
    <row r="5" spans="1:44" ht="13.5" thickBot="1" x14ac:dyDescent="0.25">
      <c r="A5" s="474" t="s">
        <v>308</v>
      </c>
      <c r="B5" s="658"/>
      <c r="C5" s="659"/>
      <c r="D5" s="659"/>
      <c r="E5" s="659"/>
      <c r="F5" s="659"/>
      <c r="G5" s="80"/>
      <c r="H5" s="80"/>
      <c r="I5" s="190"/>
      <c r="J5" s="191"/>
      <c r="K5" s="234"/>
      <c r="L5" s="320"/>
      <c r="M5" s="89"/>
      <c r="N5" s="89"/>
      <c r="O5" s="89"/>
      <c r="P5" s="89"/>
      <c r="Q5" s="89"/>
      <c r="R5" s="82"/>
    </row>
    <row r="6" spans="1:44" ht="13.5" thickBot="1" x14ac:dyDescent="0.25">
      <c r="A6" s="78"/>
      <c r="B6" s="79"/>
      <c r="C6" s="79"/>
      <c r="D6" s="80"/>
      <c r="E6" s="80"/>
      <c r="F6" s="80"/>
      <c r="G6" s="80"/>
      <c r="H6" s="80"/>
      <c r="I6" s="190"/>
      <c r="J6" s="191"/>
      <c r="K6" s="234"/>
      <c r="L6" s="320"/>
      <c r="M6" s="89"/>
      <c r="N6" s="89"/>
      <c r="O6" s="89"/>
      <c r="P6" s="89"/>
      <c r="Q6" s="89"/>
      <c r="R6" s="82"/>
    </row>
    <row r="7" spans="1:44" ht="14.25" thickTop="1" thickBot="1" x14ac:dyDescent="0.25">
      <c r="A7" s="78"/>
      <c r="B7" s="321"/>
      <c r="C7" s="79"/>
      <c r="D7" s="80" t="s">
        <v>44</v>
      </c>
      <c r="E7" s="80"/>
      <c r="F7" s="322" t="s">
        <v>163</v>
      </c>
      <c r="G7" s="323"/>
      <c r="H7" s="324"/>
      <c r="I7" s="325" t="s">
        <v>165</v>
      </c>
      <c r="J7" s="326" t="s">
        <v>60</v>
      </c>
      <c r="K7" s="324" t="s">
        <v>202</v>
      </c>
      <c r="L7" s="324" t="s">
        <v>103</v>
      </c>
      <c r="M7" s="327" t="s">
        <v>165</v>
      </c>
      <c r="N7" s="328"/>
      <c r="O7" s="324" t="s">
        <v>202</v>
      </c>
      <c r="P7" s="324" t="s">
        <v>166</v>
      </c>
      <c r="Q7" s="327" t="s">
        <v>165</v>
      </c>
      <c r="R7" s="329" t="s">
        <v>61</v>
      </c>
    </row>
    <row r="8" spans="1:44" ht="13.5" thickBot="1" x14ac:dyDescent="0.25">
      <c r="A8" s="330"/>
      <c r="C8" s="107" t="s">
        <v>201</v>
      </c>
      <c r="D8" s="446">
        <v>36</v>
      </c>
      <c r="E8" s="84" t="s">
        <v>108</v>
      </c>
      <c r="F8" s="331" t="s">
        <v>221</v>
      </c>
      <c r="G8" s="332"/>
      <c r="H8" s="333"/>
      <c r="I8" s="334" t="s">
        <v>109</v>
      </c>
      <c r="J8" s="335" t="s">
        <v>63</v>
      </c>
      <c r="K8" s="336" t="s">
        <v>203</v>
      </c>
      <c r="L8" s="336"/>
      <c r="M8" s="337"/>
      <c r="N8" s="338"/>
      <c r="O8" s="336" t="s">
        <v>203</v>
      </c>
      <c r="P8" s="336"/>
      <c r="Q8" s="337"/>
      <c r="R8" s="339"/>
      <c r="S8" s="191"/>
      <c r="T8" s="340"/>
      <c r="V8" s="341"/>
    </row>
    <row r="9" spans="1:44" x14ac:dyDescent="0.2">
      <c r="A9" s="342"/>
      <c r="B9" s="80"/>
      <c r="C9" s="208"/>
      <c r="D9" s="208"/>
      <c r="E9" s="343"/>
      <c r="F9" s="344" t="s">
        <v>198</v>
      </c>
      <c r="G9" s="345"/>
      <c r="H9" s="346"/>
      <c r="I9" s="347">
        <f>((VLOOKUP(($D$17),$A$33:$Q$47,9)))</f>
        <v>36.200000000000003</v>
      </c>
      <c r="J9" s="348">
        <f>((VLOOKUP(($D$17),$A$33:$Q$47,10)))</f>
        <v>34</v>
      </c>
      <c r="K9" s="349">
        <f>((VLOOKUP(($D$17),$A$33:$Q$47,11)))</f>
        <v>1</v>
      </c>
      <c r="L9" s="350">
        <f>((VLOOKUP(($D$17),$A$33:$Q$47,12)))</f>
        <v>5266292</v>
      </c>
      <c r="M9" s="351">
        <f>((VLOOKUP(($D$17),$A$33:$Q$47,13)))</f>
        <v>18.100000000000001</v>
      </c>
      <c r="N9" s="348"/>
      <c r="O9" s="349">
        <f>((VLOOKUP(($D$17),$A$33:$Q$47,14)))</f>
        <v>1</v>
      </c>
      <c r="P9" s="350">
        <f>((VLOOKUP(($D$17),$A$33:$Q$47,16)))</f>
        <v>5266292</v>
      </c>
      <c r="Q9" s="351">
        <f>((VLOOKUP(($D$17),$A$33:$Q$47,17)))</f>
        <v>18.100000000000001</v>
      </c>
      <c r="R9" s="352">
        <f>((VLOOKUP(($D$17),$A$33:$R$47,18)))</f>
        <v>5.5555555555555358E-3</v>
      </c>
    </row>
    <row r="10" spans="1:44" x14ac:dyDescent="0.2">
      <c r="A10" s="342"/>
      <c r="B10" s="321" t="s">
        <v>222</v>
      </c>
      <c r="C10" s="208"/>
      <c r="D10" s="208"/>
      <c r="E10" s="343"/>
      <c r="F10" s="353"/>
      <c r="G10" s="354"/>
      <c r="H10" s="354"/>
      <c r="I10" s="354"/>
      <c r="J10" s="353"/>
      <c r="K10" s="354"/>
      <c r="L10" s="354"/>
      <c r="M10" s="355"/>
      <c r="N10" s="353"/>
      <c r="O10" s="354"/>
      <c r="P10" s="354"/>
      <c r="Q10" s="355"/>
      <c r="R10" s="355"/>
      <c r="S10" s="89"/>
      <c r="T10" s="356"/>
      <c r="U10" s="89"/>
      <c r="V10" s="89"/>
      <c r="W10" s="89"/>
      <c r="X10" s="89"/>
      <c r="Y10" s="89"/>
      <c r="Z10" s="89"/>
    </row>
    <row r="11" spans="1:44" ht="13.5" thickBot="1" x14ac:dyDescent="0.25">
      <c r="A11" s="342"/>
      <c r="B11" s="321" t="s">
        <v>111</v>
      </c>
      <c r="C11" s="107"/>
      <c r="D11" s="107"/>
      <c r="E11" s="343"/>
      <c r="F11" s="357" t="s">
        <v>199</v>
      </c>
      <c r="G11" s="358"/>
      <c r="H11" s="359"/>
      <c r="I11" s="360">
        <f>((VLOOKUP(($D$17),$A$33:$Q$47,4)))</f>
        <v>34</v>
      </c>
      <c r="J11" s="361">
        <f>((VLOOKUP(($D$17),$A$33:$Q$47,5)))</f>
        <v>34</v>
      </c>
      <c r="K11" s="362">
        <f>IF($M$11=0,0,I11/M11)</f>
        <v>2</v>
      </c>
      <c r="L11" s="362">
        <f>((VLOOKUP(($D$17),$A$33:$Q$47,6)))</f>
        <v>5266285</v>
      </c>
      <c r="M11" s="363">
        <f>((VLOOKUP(($D$17),$A$33:$Q$47,7)))</f>
        <v>17</v>
      </c>
      <c r="N11" s="651"/>
      <c r="O11" s="652"/>
      <c r="P11" s="652"/>
      <c r="Q11" s="653"/>
      <c r="R11" s="364">
        <f>((VLOOKUP(($D$17),$A$33:$Q$47,8)))</f>
        <v>-5.555555555555558E-2</v>
      </c>
      <c r="S11" s="89"/>
      <c r="T11" s="356"/>
      <c r="U11" s="89"/>
      <c r="V11" s="89"/>
      <c r="W11" s="89"/>
      <c r="X11" s="89"/>
      <c r="Y11" s="89"/>
      <c r="Z11" s="89"/>
    </row>
    <row r="12" spans="1:44" ht="13.5" thickTop="1" x14ac:dyDescent="0.2">
      <c r="A12" s="342"/>
      <c r="B12" s="343" t="s">
        <v>223</v>
      </c>
      <c r="C12" s="80"/>
      <c r="D12" s="343"/>
      <c r="E12" s="343"/>
      <c r="F12" s="84"/>
      <c r="G12" s="208"/>
      <c r="H12" s="79"/>
      <c r="I12" s="107"/>
      <c r="J12" s="89"/>
      <c r="K12" s="89"/>
      <c r="L12" s="89"/>
      <c r="M12" s="89"/>
      <c r="N12" s="89"/>
      <c r="O12" s="89"/>
      <c r="P12" s="191"/>
      <c r="Q12" s="89"/>
      <c r="R12" s="209"/>
      <c r="S12" s="89"/>
      <c r="T12" s="356"/>
      <c r="U12" s="89"/>
      <c r="V12" s="89"/>
      <c r="W12" s="89"/>
      <c r="X12" s="89"/>
      <c r="Y12" s="89"/>
      <c r="Z12" s="89"/>
    </row>
    <row r="13" spans="1:44" hidden="1" x14ac:dyDescent="0.2">
      <c r="A13" s="342"/>
      <c r="B13" s="321"/>
      <c r="C13" s="80"/>
      <c r="D13" s="343"/>
      <c r="E13" s="343"/>
      <c r="F13" s="84"/>
      <c r="G13" s="343"/>
      <c r="H13" s="79"/>
      <c r="I13" s="343"/>
      <c r="J13" s="89"/>
      <c r="K13" s="278"/>
      <c r="L13" s="278"/>
      <c r="M13" s="89"/>
      <c r="N13" s="191"/>
      <c r="O13" s="340"/>
      <c r="P13" s="89"/>
      <c r="Q13" s="89"/>
      <c r="R13" s="209"/>
      <c r="S13" s="89"/>
      <c r="T13" s="356"/>
      <c r="U13" s="89"/>
      <c r="V13" s="89"/>
      <c r="W13" s="89"/>
      <c r="X13" s="176"/>
      <c r="Y13" s="79"/>
      <c r="Z13" s="79"/>
    </row>
    <row r="14" spans="1:44" x14ac:dyDescent="0.2">
      <c r="A14" s="342"/>
      <c r="B14" s="343"/>
      <c r="C14" s="80"/>
      <c r="D14" s="343"/>
      <c r="E14" s="343"/>
      <c r="F14" s="84"/>
      <c r="G14" s="208"/>
      <c r="H14" s="79"/>
      <c r="I14" s="343"/>
      <c r="J14" s="89"/>
      <c r="K14" s="89"/>
      <c r="L14" s="89"/>
      <c r="M14" s="89"/>
      <c r="N14" s="191"/>
      <c r="O14" s="340"/>
      <c r="P14" s="89"/>
      <c r="Q14" s="89"/>
      <c r="R14" s="209"/>
      <c r="S14" s="89"/>
      <c r="T14" s="356"/>
      <c r="U14" s="89"/>
      <c r="V14" s="89"/>
      <c r="W14" s="89"/>
      <c r="X14" s="176"/>
      <c r="Y14" s="79"/>
      <c r="Z14" s="79"/>
    </row>
    <row r="15" spans="1:44" x14ac:dyDescent="0.2">
      <c r="A15" s="342"/>
      <c r="B15" s="321"/>
      <c r="C15" s="80"/>
      <c r="D15" s="343"/>
      <c r="E15" s="343"/>
      <c r="F15" s="84"/>
      <c r="G15" s="208"/>
      <c r="H15" s="79"/>
      <c r="I15" s="343"/>
      <c r="J15" s="89"/>
      <c r="K15" s="89"/>
      <c r="L15" s="89"/>
      <c r="M15" s="89"/>
      <c r="N15" s="191"/>
      <c r="O15" s="340"/>
      <c r="P15" s="89"/>
      <c r="Q15" s="89"/>
      <c r="R15" s="209"/>
      <c r="S15" s="89"/>
      <c r="T15" s="356"/>
      <c r="U15" s="89"/>
      <c r="V15" s="89"/>
      <c r="W15" s="89"/>
      <c r="X15" s="176"/>
      <c r="Y15" s="79"/>
      <c r="Z15" s="79"/>
    </row>
    <row r="16" spans="1:44" ht="13.5" thickBot="1" x14ac:dyDescent="0.25">
      <c r="A16" s="342"/>
      <c r="B16" s="343" t="s">
        <v>220</v>
      </c>
      <c r="C16" s="208"/>
      <c r="D16" s="208"/>
      <c r="E16" s="343"/>
      <c r="F16" s="84"/>
      <c r="G16" s="208"/>
      <c r="H16" s="79"/>
      <c r="I16" s="343"/>
      <c r="J16" s="89"/>
      <c r="K16" s="89"/>
      <c r="L16" s="89"/>
      <c r="M16" s="89"/>
      <c r="N16" s="191"/>
      <c r="O16" s="340"/>
      <c r="P16" s="89"/>
      <c r="Q16" s="89"/>
      <c r="R16" s="209"/>
      <c r="S16" s="89"/>
      <c r="T16" s="356"/>
      <c r="U16" s="89"/>
      <c r="V16" s="89"/>
      <c r="W16" s="89"/>
      <c r="X16" s="176"/>
      <c r="Y16" s="79"/>
      <c r="Z16" s="79"/>
    </row>
    <row r="17" spans="1:26" ht="13.5" thickBot="1" x14ac:dyDescent="0.25">
      <c r="A17" s="342"/>
      <c r="B17" s="107"/>
      <c r="C17" s="107" t="s">
        <v>219</v>
      </c>
      <c r="D17" s="147">
        <v>100</v>
      </c>
      <c r="E17" s="343"/>
      <c r="F17" s="84"/>
      <c r="G17" s="208"/>
      <c r="H17" s="79"/>
      <c r="I17" s="343"/>
      <c r="J17" s="89"/>
      <c r="K17" s="89"/>
      <c r="L17" s="89"/>
      <c r="M17" s="89"/>
      <c r="N17" s="191"/>
      <c r="O17" s="340"/>
      <c r="P17" s="89"/>
      <c r="Q17" s="89"/>
      <c r="R17" s="209"/>
      <c r="S17" s="89"/>
      <c r="T17" s="356"/>
      <c r="U17" s="89"/>
      <c r="V17" s="89"/>
      <c r="W17" s="89"/>
      <c r="X17" s="176"/>
      <c r="Y17" s="79"/>
      <c r="Z17" s="79"/>
    </row>
    <row r="18" spans="1:26" ht="13.5" thickBot="1" x14ac:dyDescent="0.25">
      <c r="A18" s="342"/>
      <c r="B18" s="321"/>
      <c r="C18" s="80"/>
      <c r="D18" s="343"/>
      <c r="E18" s="343"/>
      <c r="F18" s="84"/>
      <c r="G18" s="208"/>
      <c r="H18" s="79"/>
      <c r="I18" s="343"/>
      <c r="J18" s="89"/>
      <c r="K18" s="89"/>
      <c r="L18" s="89"/>
      <c r="M18" s="89"/>
      <c r="N18" s="191"/>
      <c r="O18" s="340"/>
      <c r="P18" s="89"/>
      <c r="Q18" s="89"/>
      <c r="R18" s="209"/>
      <c r="S18" s="89"/>
      <c r="T18" s="356"/>
      <c r="U18" s="89"/>
      <c r="V18" s="89"/>
      <c r="W18" s="89"/>
      <c r="X18" s="176"/>
      <c r="Y18" s="79"/>
      <c r="Z18" s="79"/>
    </row>
    <row r="19" spans="1:26" ht="14.25" thickTop="1" thickBot="1" x14ac:dyDescent="0.25">
      <c r="A19" s="342"/>
      <c r="B19" s="321" t="s">
        <v>224</v>
      </c>
      <c r="C19" s="80"/>
      <c r="D19" s="656" t="str">
        <f>VLOOKUP($D$17,$K$67:$L$81,2)</f>
        <v>VAD100F103</v>
      </c>
      <c r="E19" s="657"/>
      <c r="F19" s="84"/>
      <c r="G19" s="208"/>
      <c r="H19" s="79"/>
      <c r="I19" s="343"/>
      <c r="J19" s="89"/>
      <c r="K19" s="89"/>
      <c r="L19" s="89"/>
      <c r="M19" s="89"/>
      <c r="N19" s="191"/>
      <c r="O19" s="340"/>
      <c r="P19" s="89"/>
      <c r="Q19" s="89"/>
      <c r="R19" s="209"/>
      <c r="S19" s="89"/>
      <c r="T19" s="356"/>
      <c r="U19" s="89"/>
      <c r="V19" s="89"/>
      <c r="W19" s="89"/>
      <c r="X19" s="176"/>
      <c r="Y19" s="79"/>
      <c r="Z19" s="79"/>
    </row>
    <row r="20" spans="1:26" ht="14.25" thickTop="1" thickBot="1" x14ac:dyDescent="0.25">
      <c r="A20" s="342"/>
      <c r="B20" s="343"/>
      <c r="C20" s="80"/>
      <c r="D20" s="343"/>
      <c r="E20" s="343"/>
      <c r="F20" s="84"/>
      <c r="G20" s="208"/>
      <c r="H20" s="79"/>
      <c r="I20" s="343"/>
      <c r="J20" s="89"/>
      <c r="K20" s="89"/>
      <c r="L20" s="89"/>
      <c r="M20" s="89"/>
      <c r="N20" s="191"/>
      <c r="O20" s="340"/>
      <c r="P20" s="89"/>
      <c r="Q20" s="89"/>
      <c r="R20" s="209"/>
      <c r="S20" s="89"/>
      <c r="T20" s="356"/>
      <c r="U20" s="89"/>
      <c r="V20" s="89"/>
      <c r="W20" s="89"/>
      <c r="X20" s="176"/>
      <c r="Y20" s="79"/>
      <c r="Z20" s="79"/>
    </row>
    <row r="21" spans="1:26" ht="14.25" thickTop="1" thickBot="1" x14ac:dyDescent="0.25">
      <c r="A21" s="342"/>
      <c r="B21" s="321" t="s">
        <v>236</v>
      </c>
      <c r="C21" s="80"/>
      <c r="D21" s="656" t="str">
        <f>VLOOKUP($D$17,$O$67:$P$81,2)</f>
        <v>VAD100F540</v>
      </c>
      <c r="E21" s="657"/>
      <c r="F21" s="84"/>
      <c r="G21" s="208"/>
      <c r="H21" s="79"/>
      <c r="I21" s="343"/>
      <c r="J21" s="89"/>
      <c r="K21" s="89"/>
      <c r="L21" s="89"/>
      <c r="M21" s="89"/>
      <c r="N21" s="191"/>
      <c r="O21" s="340"/>
      <c r="P21" s="89"/>
      <c r="Q21" s="89"/>
      <c r="R21" s="209"/>
      <c r="S21" s="89"/>
      <c r="T21" s="356"/>
      <c r="U21" s="89"/>
      <c r="V21" s="89"/>
      <c r="W21" s="89"/>
      <c r="X21" s="176"/>
      <c r="Y21" s="79"/>
      <c r="Z21" s="79"/>
    </row>
    <row r="22" spans="1:26" ht="13.5" thickTop="1" x14ac:dyDescent="0.2">
      <c r="A22" s="342"/>
      <c r="B22" s="343"/>
      <c r="C22" s="107"/>
      <c r="D22" s="343"/>
      <c r="E22" s="343"/>
      <c r="F22" s="191"/>
      <c r="G22" s="208"/>
      <c r="H22" s="79"/>
      <c r="I22" s="343"/>
      <c r="J22" s="89"/>
      <c r="K22" s="89"/>
      <c r="L22" s="89"/>
      <c r="M22" s="89"/>
      <c r="N22" s="191"/>
      <c r="O22" s="340"/>
      <c r="P22" s="89"/>
      <c r="Q22" s="89"/>
      <c r="R22" s="209"/>
      <c r="S22" s="89"/>
      <c r="T22" s="356"/>
      <c r="U22" s="89"/>
      <c r="V22" s="89"/>
      <c r="W22" s="89"/>
      <c r="X22" s="176"/>
      <c r="Y22" s="79"/>
      <c r="Z22" s="79"/>
    </row>
    <row r="23" spans="1:26" x14ac:dyDescent="0.2">
      <c r="A23" s="342"/>
      <c r="B23" s="321"/>
      <c r="C23" s="321"/>
      <c r="D23" s="321"/>
      <c r="E23" s="321"/>
      <c r="F23" s="321"/>
      <c r="G23" s="208"/>
      <c r="H23" s="79"/>
      <c r="I23" s="343"/>
      <c r="J23" s="89"/>
      <c r="K23" s="89"/>
      <c r="L23" s="89"/>
      <c r="M23" s="89"/>
      <c r="N23" s="191"/>
      <c r="O23" s="340"/>
      <c r="P23" s="89"/>
      <c r="Q23" s="89"/>
      <c r="R23" s="209"/>
      <c r="S23" s="89"/>
      <c r="T23" s="356"/>
      <c r="U23" s="89"/>
      <c r="V23" s="89"/>
      <c r="W23" s="89"/>
      <c r="X23" s="176"/>
      <c r="Y23" s="79"/>
      <c r="Z23" s="79"/>
    </row>
    <row r="24" spans="1:26" x14ac:dyDescent="0.2">
      <c r="A24" s="342"/>
      <c r="B24" s="321"/>
      <c r="C24" s="321"/>
      <c r="D24" s="321"/>
      <c r="E24" s="321"/>
      <c r="F24" s="321"/>
      <c r="G24" s="208"/>
      <c r="H24" s="79"/>
      <c r="I24" s="343"/>
      <c r="J24" s="89"/>
      <c r="K24" s="89"/>
      <c r="L24" s="89"/>
      <c r="M24" s="89"/>
      <c r="N24" s="191"/>
      <c r="O24" s="340"/>
      <c r="P24" s="89"/>
      <c r="Q24" s="89"/>
      <c r="R24" s="209"/>
      <c r="S24" s="89"/>
      <c r="T24" s="356"/>
      <c r="U24" s="89"/>
      <c r="V24" s="89"/>
      <c r="W24" s="89"/>
      <c r="X24" s="176"/>
      <c r="Y24" s="79"/>
      <c r="Z24" s="79"/>
    </row>
    <row r="25" spans="1:26" x14ac:dyDescent="0.2">
      <c r="A25" s="342"/>
      <c r="B25" s="321"/>
      <c r="C25" s="321"/>
      <c r="D25" s="321"/>
      <c r="E25" s="321"/>
      <c r="F25" s="321"/>
      <c r="G25" s="208"/>
      <c r="H25" s="79"/>
      <c r="I25" s="343"/>
      <c r="J25" s="89"/>
      <c r="K25" s="89"/>
      <c r="L25" s="89"/>
      <c r="M25" s="89"/>
      <c r="N25" s="191"/>
      <c r="O25" s="340"/>
      <c r="P25" s="89"/>
      <c r="Q25" s="89"/>
      <c r="R25" s="209"/>
      <c r="S25" s="89"/>
      <c r="T25" s="356"/>
      <c r="U25" s="89"/>
      <c r="V25" s="89"/>
      <c r="W25" s="89"/>
      <c r="X25" s="176"/>
      <c r="Y25" s="79"/>
      <c r="Z25" s="79"/>
    </row>
    <row r="26" spans="1:26" x14ac:dyDescent="0.2">
      <c r="A26" s="342"/>
      <c r="B26" s="321"/>
      <c r="C26" s="321"/>
      <c r="D26" s="321"/>
      <c r="E26" s="321"/>
      <c r="F26" s="321"/>
      <c r="G26" s="208"/>
      <c r="H26" s="79"/>
      <c r="I26" s="343"/>
      <c r="J26" s="89"/>
      <c r="K26" s="89"/>
      <c r="L26" s="89"/>
      <c r="M26" s="89"/>
      <c r="N26" s="191"/>
      <c r="O26" s="340"/>
      <c r="P26" s="89"/>
      <c r="Q26" s="89"/>
      <c r="R26" s="209"/>
      <c r="S26" s="89"/>
      <c r="T26" s="356"/>
      <c r="U26" s="89"/>
      <c r="V26" s="89"/>
      <c r="W26" s="89"/>
      <c r="X26" s="176"/>
      <c r="Y26" s="79"/>
      <c r="Z26" s="79"/>
    </row>
    <row r="27" spans="1:26" ht="13.5" thickBot="1" x14ac:dyDescent="0.25">
      <c r="A27" s="365"/>
      <c r="B27" s="366"/>
      <c r="C27" s="366"/>
      <c r="D27" s="367"/>
      <c r="E27" s="367"/>
      <c r="F27" s="368"/>
      <c r="G27" s="369"/>
      <c r="H27" s="111"/>
      <c r="I27" s="367"/>
      <c r="J27" s="370"/>
      <c r="K27" s="370"/>
      <c r="L27" s="370"/>
      <c r="M27" s="370"/>
      <c r="N27" s="370"/>
      <c r="O27" s="370"/>
      <c r="P27" s="370"/>
      <c r="Q27" s="370"/>
      <c r="R27" s="233"/>
      <c r="S27" s="89"/>
      <c r="T27" s="356"/>
      <c r="U27" s="89"/>
      <c r="V27" s="89"/>
      <c r="W27" s="89"/>
      <c r="X27" s="371"/>
      <c r="Y27" s="79"/>
      <c r="Z27" s="79"/>
    </row>
    <row r="28" spans="1:26" ht="13.5" hidden="1" thickTop="1" x14ac:dyDescent="0.2">
      <c r="A28" s="83"/>
      <c r="B28" s="84"/>
      <c r="C28" s="372"/>
      <c r="D28" s="373" t="s">
        <v>112</v>
      </c>
      <c r="E28" s="373"/>
      <c r="F28" s="373"/>
      <c r="G28" s="373"/>
      <c r="H28" s="373"/>
      <c r="I28" s="373" t="s">
        <v>113</v>
      </c>
      <c r="J28" s="373"/>
      <c r="K28" s="373"/>
      <c r="L28" s="373"/>
      <c r="M28" s="373"/>
      <c r="N28" s="373"/>
      <c r="O28" s="374"/>
      <c r="P28" s="374"/>
      <c r="Q28" s="374"/>
      <c r="R28" s="375"/>
      <c r="S28" s="191"/>
      <c r="T28" s="356"/>
      <c r="U28" s="89"/>
      <c r="V28" s="89"/>
      <c r="W28" s="89"/>
      <c r="X28" s="376"/>
      <c r="Y28" s="79"/>
      <c r="Z28" s="79"/>
    </row>
    <row r="29" spans="1:26" hidden="1" x14ac:dyDescent="0.2">
      <c r="A29" s="342" t="s">
        <v>84</v>
      </c>
      <c r="B29" s="80" t="s">
        <v>114</v>
      </c>
      <c r="C29" s="80" t="s">
        <v>115</v>
      </c>
      <c r="D29" s="373" t="s">
        <v>116</v>
      </c>
      <c r="E29" s="373" t="s">
        <v>117</v>
      </c>
      <c r="F29" s="377" t="s">
        <v>86</v>
      </c>
      <c r="G29" s="377" t="s">
        <v>118</v>
      </c>
      <c r="H29" s="377" t="s">
        <v>119</v>
      </c>
      <c r="I29" s="373" t="s">
        <v>118</v>
      </c>
      <c r="J29" s="373" t="s">
        <v>60</v>
      </c>
      <c r="K29" s="377" t="s">
        <v>115</v>
      </c>
      <c r="L29" s="377" t="s">
        <v>86</v>
      </c>
      <c r="M29" s="377" t="s">
        <v>85</v>
      </c>
      <c r="N29" s="378" t="s">
        <v>120</v>
      </c>
      <c r="O29" s="377" t="s">
        <v>121</v>
      </c>
      <c r="P29" s="377" t="s">
        <v>86</v>
      </c>
      <c r="Q29" s="377" t="s">
        <v>85</v>
      </c>
      <c r="R29" s="379" t="s">
        <v>119</v>
      </c>
      <c r="S29" s="89"/>
      <c r="T29" s="356"/>
      <c r="U29" s="89"/>
      <c r="V29" s="89"/>
      <c r="W29" s="89"/>
      <c r="X29" s="269"/>
      <c r="Y29" s="79"/>
      <c r="Z29" s="79"/>
    </row>
    <row r="30" spans="1:26" hidden="1" x14ac:dyDescent="0.2">
      <c r="A30" s="342" t="s">
        <v>122</v>
      </c>
      <c r="B30" s="80" t="s">
        <v>109</v>
      </c>
      <c r="C30" s="80" t="s">
        <v>123</v>
      </c>
      <c r="D30" s="373" t="s">
        <v>109</v>
      </c>
      <c r="E30" s="373" t="s">
        <v>63</v>
      </c>
      <c r="F30" s="377"/>
      <c r="G30" s="377" t="s">
        <v>109</v>
      </c>
      <c r="H30" s="377" t="s">
        <v>124</v>
      </c>
      <c r="I30" s="373" t="s">
        <v>109</v>
      </c>
      <c r="J30" s="373" t="s">
        <v>63</v>
      </c>
      <c r="K30" s="377" t="s">
        <v>123</v>
      </c>
      <c r="L30" s="377"/>
      <c r="M30" s="377" t="s">
        <v>88</v>
      </c>
      <c r="N30" s="378" t="s">
        <v>125</v>
      </c>
      <c r="O30" s="377" t="s">
        <v>116</v>
      </c>
      <c r="P30" s="377"/>
      <c r="Q30" s="377" t="s">
        <v>88</v>
      </c>
      <c r="R30" s="379" t="s">
        <v>124</v>
      </c>
      <c r="S30" s="89"/>
      <c r="T30" s="356"/>
      <c r="U30" s="380"/>
      <c r="V30" s="89"/>
      <c r="W30" s="89"/>
      <c r="X30" s="79"/>
      <c r="Y30" s="79"/>
      <c r="Z30" s="79"/>
    </row>
    <row r="31" spans="1:26" hidden="1" x14ac:dyDescent="0.2">
      <c r="A31" s="342" t="s">
        <v>76</v>
      </c>
      <c r="B31" s="183"/>
      <c r="C31" s="107"/>
      <c r="D31" s="381" t="s">
        <v>126</v>
      </c>
      <c r="E31" s="373"/>
      <c r="F31" s="377" t="s">
        <v>127</v>
      </c>
      <c r="G31" s="377" t="s">
        <v>127</v>
      </c>
      <c r="H31" s="377"/>
      <c r="I31" s="381" t="s">
        <v>128</v>
      </c>
      <c r="J31" s="373"/>
      <c r="K31" s="377"/>
      <c r="L31" s="377" t="s">
        <v>127</v>
      </c>
      <c r="M31" s="377" t="s">
        <v>129</v>
      </c>
      <c r="N31" s="378"/>
      <c r="O31" s="377" t="s">
        <v>109</v>
      </c>
      <c r="P31" s="377" t="s">
        <v>127</v>
      </c>
      <c r="Q31" s="377" t="s">
        <v>129</v>
      </c>
      <c r="R31" s="379"/>
      <c r="S31" s="89"/>
      <c r="T31" s="356"/>
      <c r="U31" s="380"/>
      <c r="V31" s="89"/>
      <c r="W31" s="89"/>
      <c r="X31" s="269"/>
      <c r="Y31" s="79"/>
      <c r="Z31" s="79"/>
    </row>
    <row r="32" spans="1:26" hidden="1" x14ac:dyDescent="0.2">
      <c r="A32" s="382"/>
      <c r="B32" s="183"/>
      <c r="C32" s="183"/>
      <c r="D32" s="107"/>
      <c r="E32" s="107"/>
      <c r="F32" s="107"/>
      <c r="G32" s="107"/>
      <c r="H32" s="107"/>
      <c r="I32" s="107"/>
      <c r="J32" s="107"/>
      <c r="K32" s="107"/>
      <c r="L32" s="107"/>
      <c r="M32" s="107"/>
      <c r="N32" s="383"/>
      <c r="O32" s="107"/>
      <c r="P32" s="89"/>
      <c r="Q32" s="107"/>
      <c r="R32" s="209"/>
      <c r="S32" s="89"/>
      <c r="T32" s="356"/>
      <c r="U32" s="380"/>
      <c r="V32" s="89"/>
      <c r="W32" s="89"/>
      <c r="X32" s="89"/>
      <c r="Y32" s="89"/>
      <c r="Z32" s="89"/>
    </row>
    <row r="33" spans="1:26" hidden="1" x14ac:dyDescent="0.2">
      <c r="A33" s="384">
        <v>50</v>
      </c>
      <c r="B33" s="385" t="s">
        <v>130</v>
      </c>
      <c r="C33" s="386">
        <v>1</v>
      </c>
      <c r="D33" s="387">
        <f t="shared" ref="D33:D47" si="0">IF($D$8/$C33&lt;3.8,D32,VLOOKUP(($D$8/$C33),$D$56:$F$100,1)*$C33)</f>
        <v>35</v>
      </c>
      <c r="E33" s="388">
        <f t="shared" ref="E33:E47" si="1">IF($D$8/$C33&lt;3.8,E32,VLOOKUP(($D$8/$C33),$D$56:$F$100,2))</f>
        <v>40</v>
      </c>
      <c r="F33" s="389">
        <f t="shared" ref="F33:F47" si="2">IF($D$8/$C33&lt;3.8,F32,VLOOKUP(($D$8/$C33),$D$56:$F$100,3))</f>
        <v>5266391</v>
      </c>
      <c r="G33" s="390">
        <f t="shared" ref="G33:G47" si="3">IF($D$8/$C33&lt;3.8,G32,VLOOKUP(($D$8/$C33),$D$56:$F$100,1))</f>
        <v>35</v>
      </c>
      <c r="H33" s="391">
        <f t="shared" ref="H33:H47" si="4">D33/$D$8-1</f>
        <v>-2.777777777777779E-2</v>
      </c>
      <c r="I33" s="392">
        <f t="shared" ref="I33:I47" si="5">$K33*M33+$N33*Q33</f>
        <v>36.299999999999997</v>
      </c>
      <c r="J33" s="393">
        <f>VLOOKUP(($D$8/$C33),$D$56:$I$100,5)</f>
        <v>42</v>
      </c>
      <c r="K33" s="394">
        <f>C33</f>
        <v>1</v>
      </c>
      <c r="L33" s="394">
        <f>VLOOKUP(($D$8/$C33),$D$56:$I$100,6)</f>
        <v>5266393</v>
      </c>
      <c r="M33" s="395">
        <f>VLOOKUP(($D$8/$C33),$D$56:$I$100,4)</f>
        <v>36.299999999999997</v>
      </c>
      <c r="N33" s="378">
        <v>0</v>
      </c>
      <c r="O33" s="396">
        <f>($D$8-(K33*M33))</f>
        <v>-0.29999999999999716</v>
      </c>
      <c r="P33" s="377">
        <v>0</v>
      </c>
      <c r="Q33" s="397">
        <v>0</v>
      </c>
      <c r="R33" s="398">
        <f t="shared" ref="R33:R47" si="6">I33/$D$8-1</f>
        <v>8.3333333333333037E-3</v>
      </c>
      <c r="S33" s="89"/>
      <c r="T33" s="380"/>
      <c r="U33" s="380"/>
      <c r="V33" s="89"/>
      <c r="W33" s="89"/>
      <c r="X33" s="89"/>
      <c r="Y33" s="89"/>
      <c r="Z33" s="89"/>
    </row>
    <row r="34" spans="1:26" hidden="1" x14ac:dyDescent="0.2">
      <c r="A34" s="342">
        <v>65</v>
      </c>
      <c r="B34" s="108" t="s">
        <v>130</v>
      </c>
      <c r="C34" s="80">
        <v>1</v>
      </c>
      <c r="D34" s="387">
        <f t="shared" si="0"/>
        <v>35</v>
      </c>
      <c r="E34" s="388">
        <f t="shared" si="1"/>
        <v>40</v>
      </c>
      <c r="F34" s="389">
        <f t="shared" si="2"/>
        <v>5266391</v>
      </c>
      <c r="G34" s="390">
        <f t="shared" si="3"/>
        <v>35</v>
      </c>
      <c r="H34" s="391">
        <f t="shared" si="4"/>
        <v>-2.777777777777779E-2</v>
      </c>
      <c r="I34" s="392">
        <f t="shared" si="5"/>
        <v>36.299999999999997</v>
      </c>
      <c r="J34" s="393">
        <f>VLOOKUP(($D$8/$C34),$D$56:$I$100,5)</f>
        <v>42</v>
      </c>
      <c r="K34" s="394">
        <f>C34</f>
        <v>1</v>
      </c>
      <c r="L34" s="394">
        <f>VLOOKUP(($D$8/$C34),$D$56:$I$100,6)</f>
        <v>5266393</v>
      </c>
      <c r="M34" s="395">
        <f>VLOOKUP(($D$8/$C34),$D$56:$I$100,4)</f>
        <v>36.299999999999997</v>
      </c>
      <c r="N34" s="378">
        <v>0</v>
      </c>
      <c r="O34" s="396">
        <f>($D$8-(K34*M34))</f>
        <v>-0.29999999999999716</v>
      </c>
      <c r="P34" s="377">
        <v>0</v>
      </c>
      <c r="Q34" s="397">
        <v>0</v>
      </c>
      <c r="R34" s="398">
        <f t="shared" si="6"/>
        <v>8.3333333333333037E-3</v>
      </c>
      <c r="S34" s="176"/>
      <c r="T34" s="356"/>
      <c r="U34" s="380"/>
      <c r="V34" s="89"/>
      <c r="W34" s="89"/>
      <c r="X34" s="89"/>
      <c r="Y34" s="89"/>
      <c r="Z34" s="89"/>
    </row>
    <row r="35" spans="1:26" hidden="1" x14ac:dyDescent="0.2">
      <c r="A35" s="384">
        <v>80</v>
      </c>
      <c r="B35" s="385" t="s">
        <v>130</v>
      </c>
      <c r="C35" s="386">
        <v>1</v>
      </c>
      <c r="D35" s="387">
        <f t="shared" si="0"/>
        <v>35</v>
      </c>
      <c r="E35" s="388">
        <f t="shared" si="1"/>
        <v>40</v>
      </c>
      <c r="F35" s="389">
        <f t="shared" si="2"/>
        <v>5266391</v>
      </c>
      <c r="G35" s="390">
        <f t="shared" si="3"/>
        <v>35</v>
      </c>
      <c r="H35" s="391">
        <f t="shared" si="4"/>
        <v>-2.777777777777779E-2</v>
      </c>
      <c r="I35" s="392">
        <f t="shared" si="5"/>
        <v>36.299999999999997</v>
      </c>
      <c r="J35" s="393">
        <f>VLOOKUP(($D$8/$C35),$D$56:$I$100,5)</f>
        <v>42</v>
      </c>
      <c r="K35" s="394">
        <f>C35</f>
        <v>1</v>
      </c>
      <c r="L35" s="394">
        <f>VLOOKUP(($D$8/$C35),$D$56:$I$100,6)</f>
        <v>5266393</v>
      </c>
      <c r="M35" s="395">
        <f>VLOOKUP(($D$8/$C35),$D$56:$I$100,4)</f>
        <v>36.299999999999997</v>
      </c>
      <c r="N35" s="378">
        <v>0</v>
      </c>
      <c r="O35" s="396">
        <f>($D$8-(K35*M35))</f>
        <v>-0.29999999999999716</v>
      </c>
      <c r="P35" s="377">
        <v>0</v>
      </c>
      <c r="Q35" s="397">
        <v>0</v>
      </c>
      <c r="R35" s="398">
        <f t="shared" si="6"/>
        <v>8.3333333333333037E-3</v>
      </c>
      <c r="S35" s="176"/>
      <c r="T35" s="356"/>
      <c r="U35" s="89"/>
      <c r="V35" s="89"/>
      <c r="W35" s="89"/>
      <c r="X35" s="89"/>
      <c r="Y35" s="89"/>
      <c r="Z35" s="89"/>
    </row>
    <row r="36" spans="1:26" hidden="1" x14ac:dyDescent="0.2">
      <c r="A36" s="342">
        <v>100</v>
      </c>
      <c r="B36" s="399" t="s">
        <v>131</v>
      </c>
      <c r="C36" s="80">
        <v>2</v>
      </c>
      <c r="D36" s="387">
        <f t="shared" si="0"/>
        <v>34</v>
      </c>
      <c r="E36" s="388">
        <f t="shared" si="1"/>
        <v>34</v>
      </c>
      <c r="F36" s="389">
        <f t="shared" si="2"/>
        <v>5266285</v>
      </c>
      <c r="G36" s="390">
        <f t="shared" si="3"/>
        <v>17</v>
      </c>
      <c r="H36" s="391">
        <f t="shared" si="4"/>
        <v>-5.555555555555558E-2</v>
      </c>
      <c r="I36" s="392">
        <f t="shared" si="5"/>
        <v>36.200000000000003</v>
      </c>
      <c r="J36" s="400">
        <f t="shared" ref="J36:J47" si="7">IF($D$8/$C36&lt;3.8,J35,VLOOKUP(($D$8/$C36),$D$56:$I$100,5))</f>
        <v>34</v>
      </c>
      <c r="K36" s="378">
        <f>IF($D$8/$C36&lt;3.8,K35,C36-1)</f>
        <v>1</v>
      </c>
      <c r="L36" s="395">
        <f t="shared" ref="L36:L47" si="8">IF($D$8/$C36&lt;3.8,L35,VLOOKUP(($D$8/$C36),$D$56:$I$100,6))</f>
        <v>5266292</v>
      </c>
      <c r="M36" s="395">
        <f t="shared" ref="M36:M47" si="9">IF($D$8/$C36&lt;3.8,M35,VLOOKUP(($D$8/$C36),$D$56:$I$100,4))</f>
        <v>18.100000000000001</v>
      </c>
      <c r="N36" s="378">
        <f t="shared" ref="N36:N47" si="10">IF($D$8/$C36&lt;3.8,N35,C36-K36)</f>
        <v>1</v>
      </c>
      <c r="O36" s="396">
        <f t="shared" ref="O36:O47" si="11">IF($N$36=0,O35,($D$8-(K36*M36))/N36)</f>
        <v>17.899999999999999</v>
      </c>
      <c r="P36" s="377">
        <f t="shared" ref="P36:P47" si="12">IF($O36&lt;0,P35,((VLOOKUP(($O36),$D$56:$I$100,6))))</f>
        <v>5266292</v>
      </c>
      <c r="Q36" s="397">
        <f t="shared" ref="Q36:Q47" si="13">IF($O36&lt;0,Q35,((VLOOKUP(($O36),$D$56:$I$100,4))))</f>
        <v>18.100000000000001</v>
      </c>
      <c r="R36" s="398">
        <f t="shared" si="6"/>
        <v>5.5555555555555358E-3</v>
      </c>
      <c r="S36" s="371"/>
      <c r="T36" s="356"/>
      <c r="U36" s="89"/>
      <c r="V36" s="89"/>
      <c r="W36" s="89"/>
      <c r="X36" s="89"/>
      <c r="Y36" s="89"/>
      <c r="Z36" s="89"/>
    </row>
    <row r="37" spans="1:26" hidden="1" x14ac:dyDescent="0.2">
      <c r="A37" s="384">
        <v>125</v>
      </c>
      <c r="B37" s="385" t="s">
        <v>132</v>
      </c>
      <c r="C37" s="386">
        <v>3</v>
      </c>
      <c r="D37" s="387">
        <f t="shared" si="0"/>
        <v>34.200000000000003</v>
      </c>
      <c r="E37" s="388">
        <f t="shared" si="1"/>
        <v>22</v>
      </c>
      <c r="F37" s="389">
        <f t="shared" si="2"/>
        <v>5255287</v>
      </c>
      <c r="G37" s="390">
        <f t="shared" si="3"/>
        <v>11.4</v>
      </c>
      <c r="H37" s="391">
        <f t="shared" si="4"/>
        <v>-4.9999999999999933E-2</v>
      </c>
      <c r="I37" s="392">
        <f t="shared" si="5"/>
        <v>36.4</v>
      </c>
      <c r="J37" s="400">
        <f t="shared" si="7"/>
        <v>23</v>
      </c>
      <c r="K37" s="378">
        <f>IF($D$8/$C37&lt;3.8,K36,C37-1)</f>
        <v>2</v>
      </c>
      <c r="L37" s="395">
        <f t="shared" si="8"/>
        <v>5255292</v>
      </c>
      <c r="M37" s="395">
        <f t="shared" si="9"/>
        <v>12.5</v>
      </c>
      <c r="N37" s="378">
        <f t="shared" si="10"/>
        <v>1</v>
      </c>
      <c r="O37" s="396">
        <f t="shared" si="11"/>
        <v>11</v>
      </c>
      <c r="P37" s="377">
        <f t="shared" si="12"/>
        <v>5255287</v>
      </c>
      <c r="Q37" s="397">
        <f t="shared" si="13"/>
        <v>11.4</v>
      </c>
      <c r="R37" s="398">
        <f t="shared" si="6"/>
        <v>1.1111111111111072E-2</v>
      </c>
      <c r="S37" s="376"/>
      <c r="T37" s="356"/>
      <c r="U37" s="89"/>
      <c r="V37" s="89"/>
      <c r="W37" s="89"/>
      <c r="X37" s="89"/>
      <c r="Y37" s="89"/>
      <c r="Z37" s="89"/>
    </row>
    <row r="38" spans="1:26" hidden="1" x14ac:dyDescent="0.2">
      <c r="A38" s="342">
        <v>150</v>
      </c>
      <c r="B38" s="399" t="s">
        <v>133</v>
      </c>
      <c r="C38" s="80">
        <v>4</v>
      </c>
      <c r="D38" s="387">
        <f t="shared" si="0"/>
        <v>35.6</v>
      </c>
      <c r="E38" s="388">
        <f t="shared" si="1"/>
        <v>16</v>
      </c>
      <c r="F38" s="389">
        <f t="shared" si="2"/>
        <v>5255269</v>
      </c>
      <c r="G38" s="390">
        <f t="shared" si="3"/>
        <v>8.9</v>
      </c>
      <c r="H38" s="391">
        <f t="shared" si="4"/>
        <v>-1.1111111111111072E-2</v>
      </c>
      <c r="I38" s="392">
        <f t="shared" si="5"/>
        <v>36.200000000000003</v>
      </c>
      <c r="J38" s="400">
        <f t="shared" si="7"/>
        <v>19</v>
      </c>
      <c r="K38" s="378">
        <f>IF($D$8/$C38&lt;3.8,K37,C38-1)</f>
        <v>3</v>
      </c>
      <c r="L38" s="395">
        <f t="shared" si="8"/>
        <v>5255279</v>
      </c>
      <c r="M38" s="395">
        <f t="shared" si="9"/>
        <v>10.4</v>
      </c>
      <c r="N38" s="378">
        <f t="shared" si="10"/>
        <v>1</v>
      </c>
      <c r="O38" s="396">
        <f t="shared" si="11"/>
        <v>4.7999999999999972</v>
      </c>
      <c r="P38" s="377">
        <f t="shared" si="12"/>
        <v>5255213</v>
      </c>
      <c r="Q38" s="397">
        <f t="shared" si="13"/>
        <v>5</v>
      </c>
      <c r="R38" s="398">
        <f t="shared" si="6"/>
        <v>5.5555555555555358E-3</v>
      </c>
      <c r="S38" s="269"/>
      <c r="T38" s="356"/>
      <c r="U38" s="89"/>
      <c r="V38" s="89"/>
      <c r="W38" s="89"/>
      <c r="X38" s="89"/>
      <c r="Y38" s="89"/>
      <c r="Z38" s="89"/>
    </row>
    <row r="39" spans="1:26" hidden="1" x14ac:dyDescent="0.2">
      <c r="A39" s="384">
        <v>200</v>
      </c>
      <c r="B39" s="385" t="s">
        <v>134</v>
      </c>
      <c r="C39" s="386">
        <v>7</v>
      </c>
      <c r="D39" s="387">
        <f t="shared" si="0"/>
        <v>35</v>
      </c>
      <c r="E39" s="388">
        <f t="shared" si="1"/>
        <v>14</v>
      </c>
      <c r="F39" s="389">
        <f t="shared" si="2"/>
        <v>5255213</v>
      </c>
      <c r="G39" s="390">
        <f t="shared" si="3"/>
        <v>5</v>
      </c>
      <c r="H39" s="391">
        <f t="shared" si="4"/>
        <v>-2.777777777777779E-2</v>
      </c>
      <c r="I39" s="392">
        <f t="shared" si="5"/>
        <v>36.199999999999996</v>
      </c>
      <c r="J39" s="400">
        <f t="shared" si="7"/>
        <v>14</v>
      </c>
      <c r="K39" s="378">
        <f>IF($D$8/$C39&lt;3.8,K38,C39-1)</f>
        <v>6</v>
      </c>
      <c r="L39" s="394">
        <f t="shared" si="8"/>
        <v>5255220</v>
      </c>
      <c r="M39" s="395">
        <f t="shared" si="9"/>
        <v>5.3</v>
      </c>
      <c r="N39" s="378">
        <f t="shared" si="10"/>
        <v>1</v>
      </c>
      <c r="O39" s="396">
        <f t="shared" si="11"/>
        <v>4.2000000000000028</v>
      </c>
      <c r="P39" s="377">
        <f t="shared" si="12"/>
        <v>5255200</v>
      </c>
      <c r="Q39" s="397">
        <f t="shared" si="13"/>
        <v>4.4000000000000004</v>
      </c>
      <c r="R39" s="398">
        <f t="shared" si="6"/>
        <v>5.5555555555555358E-3</v>
      </c>
      <c r="S39" s="79"/>
      <c r="T39" s="356"/>
      <c r="U39" s="89"/>
      <c r="V39" s="89"/>
      <c r="W39" s="89"/>
      <c r="X39" s="89"/>
      <c r="Y39" s="89"/>
      <c r="Z39" s="89"/>
    </row>
    <row r="40" spans="1:26" hidden="1" x14ac:dyDescent="0.2">
      <c r="A40" s="342">
        <v>250</v>
      </c>
      <c r="B40" s="399" t="s">
        <v>135</v>
      </c>
      <c r="C40" s="80">
        <v>12</v>
      </c>
      <c r="D40" s="387">
        <f t="shared" si="0"/>
        <v>35</v>
      </c>
      <c r="E40" s="388">
        <f t="shared" si="1"/>
        <v>14</v>
      </c>
      <c r="F40" s="389">
        <f t="shared" si="2"/>
        <v>5255213</v>
      </c>
      <c r="G40" s="390">
        <f t="shared" si="3"/>
        <v>5</v>
      </c>
      <c r="H40" s="391">
        <f t="shared" si="4"/>
        <v>-2.777777777777779E-2</v>
      </c>
      <c r="I40" s="392">
        <f t="shared" si="5"/>
        <v>36.199999999999996</v>
      </c>
      <c r="J40" s="400">
        <f t="shared" si="7"/>
        <v>14</v>
      </c>
      <c r="K40" s="378">
        <f>IF($D$8/$C40&lt;3.8,K39,C40-2)</f>
        <v>6</v>
      </c>
      <c r="L40" s="394">
        <f t="shared" si="8"/>
        <v>5255220</v>
      </c>
      <c r="M40" s="395">
        <f t="shared" si="9"/>
        <v>5.3</v>
      </c>
      <c r="N40" s="378">
        <f t="shared" si="10"/>
        <v>1</v>
      </c>
      <c r="O40" s="396">
        <f t="shared" si="11"/>
        <v>4.2000000000000028</v>
      </c>
      <c r="P40" s="377">
        <f t="shared" si="12"/>
        <v>5255200</v>
      </c>
      <c r="Q40" s="397">
        <f t="shared" si="13"/>
        <v>4.4000000000000004</v>
      </c>
      <c r="R40" s="398">
        <f t="shared" si="6"/>
        <v>5.5555555555555358E-3</v>
      </c>
      <c r="S40" s="269"/>
      <c r="T40" s="356"/>
      <c r="U40" s="89"/>
      <c r="V40" s="89"/>
      <c r="W40" s="89"/>
      <c r="X40" s="89"/>
      <c r="Y40" s="89"/>
      <c r="Z40" s="89"/>
    </row>
    <row r="41" spans="1:26" hidden="1" x14ac:dyDescent="0.2">
      <c r="A41" s="384">
        <v>300</v>
      </c>
      <c r="B41" s="385" t="s">
        <v>136</v>
      </c>
      <c r="C41" s="386">
        <v>15</v>
      </c>
      <c r="D41" s="387">
        <f t="shared" si="0"/>
        <v>35</v>
      </c>
      <c r="E41" s="388">
        <f t="shared" si="1"/>
        <v>14</v>
      </c>
      <c r="F41" s="389">
        <f t="shared" si="2"/>
        <v>5255213</v>
      </c>
      <c r="G41" s="390">
        <f t="shared" si="3"/>
        <v>5</v>
      </c>
      <c r="H41" s="391">
        <f t="shared" si="4"/>
        <v>-2.777777777777779E-2</v>
      </c>
      <c r="I41" s="392">
        <f t="shared" si="5"/>
        <v>36.199999999999996</v>
      </c>
      <c r="J41" s="400">
        <f t="shared" si="7"/>
        <v>14</v>
      </c>
      <c r="K41" s="378">
        <f>IF($D$8/$C41&lt;3.8,K40,C41-2)</f>
        <v>6</v>
      </c>
      <c r="L41" s="394">
        <f t="shared" si="8"/>
        <v>5255220</v>
      </c>
      <c r="M41" s="395">
        <f t="shared" si="9"/>
        <v>5.3</v>
      </c>
      <c r="N41" s="378">
        <f t="shared" si="10"/>
        <v>1</v>
      </c>
      <c r="O41" s="396">
        <f t="shared" si="11"/>
        <v>4.2000000000000028</v>
      </c>
      <c r="P41" s="377">
        <f t="shared" si="12"/>
        <v>5255200</v>
      </c>
      <c r="Q41" s="397">
        <f t="shared" si="13"/>
        <v>4.4000000000000004</v>
      </c>
      <c r="R41" s="398">
        <f t="shared" si="6"/>
        <v>5.5555555555555358E-3</v>
      </c>
      <c r="S41" s="376"/>
      <c r="T41" s="356"/>
      <c r="U41" s="89"/>
      <c r="V41" s="89"/>
      <c r="W41" s="89"/>
      <c r="X41" s="89"/>
      <c r="Y41" s="89"/>
      <c r="Z41" s="89"/>
    </row>
    <row r="42" spans="1:26" hidden="1" x14ac:dyDescent="0.2">
      <c r="A42" s="342">
        <v>350</v>
      </c>
      <c r="B42" s="399" t="s">
        <v>137</v>
      </c>
      <c r="C42" s="80">
        <v>19</v>
      </c>
      <c r="D42" s="387">
        <f t="shared" si="0"/>
        <v>35</v>
      </c>
      <c r="E42" s="388">
        <f t="shared" si="1"/>
        <v>14</v>
      </c>
      <c r="F42" s="389">
        <f t="shared" si="2"/>
        <v>5255213</v>
      </c>
      <c r="G42" s="390">
        <f t="shared" si="3"/>
        <v>5</v>
      </c>
      <c r="H42" s="391">
        <f t="shared" si="4"/>
        <v>-2.777777777777779E-2</v>
      </c>
      <c r="I42" s="392">
        <f t="shared" si="5"/>
        <v>36.199999999999996</v>
      </c>
      <c r="J42" s="400">
        <f t="shared" si="7"/>
        <v>14</v>
      </c>
      <c r="K42" s="378">
        <f>IF($D$8/$C42&lt;3.8,K41,C42-3)</f>
        <v>6</v>
      </c>
      <c r="L42" s="394">
        <f t="shared" si="8"/>
        <v>5255220</v>
      </c>
      <c r="M42" s="395">
        <f t="shared" si="9"/>
        <v>5.3</v>
      </c>
      <c r="N42" s="378">
        <f t="shared" si="10"/>
        <v>1</v>
      </c>
      <c r="O42" s="396">
        <f t="shared" si="11"/>
        <v>4.2000000000000028</v>
      </c>
      <c r="P42" s="377">
        <f t="shared" si="12"/>
        <v>5255200</v>
      </c>
      <c r="Q42" s="397">
        <f t="shared" si="13"/>
        <v>4.4000000000000004</v>
      </c>
      <c r="R42" s="398">
        <f t="shared" si="6"/>
        <v>5.5555555555555358E-3</v>
      </c>
      <c r="S42" s="376"/>
      <c r="T42" s="208"/>
      <c r="U42" s="208"/>
      <c r="V42" s="191"/>
      <c r="W42" s="215"/>
      <c r="X42" s="89"/>
      <c r="Y42" s="89"/>
      <c r="Z42" s="89"/>
    </row>
    <row r="43" spans="1:26" hidden="1" x14ac:dyDescent="0.2">
      <c r="A43" s="384">
        <v>400</v>
      </c>
      <c r="B43" s="385" t="s">
        <v>138</v>
      </c>
      <c r="C43" s="386">
        <v>26</v>
      </c>
      <c r="D43" s="387">
        <f t="shared" si="0"/>
        <v>35</v>
      </c>
      <c r="E43" s="388">
        <f t="shared" si="1"/>
        <v>14</v>
      </c>
      <c r="F43" s="389">
        <f t="shared" si="2"/>
        <v>5255213</v>
      </c>
      <c r="G43" s="390">
        <f t="shared" si="3"/>
        <v>5</v>
      </c>
      <c r="H43" s="391">
        <f t="shared" si="4"/>
        <v>-2.777777777777779E-2</v>
      </c>
      <c r="I43" s="392">
        <f t="shared" si="5"/>
        <v>36.199999999999996</v>
      </c>
      <c r="J43" s="400">
        <f t="shared" si="7"/>
        <v>14</v>
      </c>
      <c r="K43" s="378">
        <f>IF($D$8/$C43&lt;3.8,K42,C43-5)</f>
        <v>6</v>
      </c>
      <c r="L43" s="394">
        <f t="shared" si="8"/>
        <v>5255220</v>
      </c>
      <c r="M43" s="395">
        <f t="shared" si="9"/>
        <v>5.3</v>
      </c>
      <c r="N43" s="378">
        <f t="shared" si="10"/>
        <v>1</v>
      </c>
      <c r="O43" s="396">
        <f t="shared" si="11"/>
        <v>4.2000000000000028</v>
      </c>
      <c r="P43" s="377">
        <f t="shared" si="12"/>
        <v>5255200</v>
      </c>
      <c r="Q43" s="397">
        <f t="shared" si="13"/>
        <v>4.4000000000000004</v>
      </c>
      <c r="R43" s="398">
        <f t="shared" si="6"/>
        <v>5.5555555555555358E-3</v>
      </c>
      <c r="S43" s="376"/>
      <c r="T43" s="208"/>
      <c r="U43" s="208"/>
      <c r="V43" s="191"/>
      <c r="W43" s="215"/>
      <c r="X43" s="89"/>
      <c r="Y43" s="89"/>
      <c r="Z43" s="89"/>
    </row>
    <row r="44" spans="1:26" hidden="1" x14ac:dyDescent="0.2">
      <c r="A44" s="342">
        <v>450</v>
      </c>
      <c r="B44" s="399" t="s">
        <v>139</v>
      </c>
      <c r="C44" s="80">
        <v>33</v>
      </c>
      <c r="D44" s="387">
        <f t="shared" si="0"/>
        <v>35</v>
      </c>
      <c r="E44" s="388">
        <f t="shared" si="1"/>
        <v>14</v>
      </c>
      <c r="F44" s="389">
        <f t="shared" si="2"/>
        <v>5255213</v>
      </c>
      <c r="G44" s="390">
        <f t="shared" si="3"/>
        <v>5</v>
      </c>
      <c r="H44" s="391">
        <f t="shared" si="4"/>
        <v>-2.777777777777779E-2</v>
      </c>
      <c r="I44" s="392">
        <f t="shared" si="5"/>
        <v>36.199999999999996</v>
      </c>
      <c r="J44" s="400">
        <f t="shared" si="7"/>
        <v>14</v>
      </c>
      <c r="K44" s="378">
        <f>IF($D$8/$C44&lt;3.8,K43,C44-10)</f>
        <v>6</v>
      </c>
      <c r="L44" s="394">
        <f t="shared" si="8"/>
        <v>5255220</v>
      </c>
      <c r="M44" s="395">
        <f t="shared" si="9"/>
        <v>5.3</v>
      </c>
      <c r="N44" s="378">
        <f t="shared" si="10"/>
        <v>1</v>
      </c>
      <c r="O44" s="396">
        <f t="shared" si="11"/>
        <v>4.2000000000000028</v>
      </c>
      <c r="P44" s="377">
        <f t="shared" si="12"/>
        <v>5255200</v>
      </c>
      <c r="Q44" s="397">
        <f t="shared" si="13"/>
        <v>4.4000000000000004</v>
      </c>
      <c r="R44" s="398">
        <f t="shared" si="6"/>
        <v>5.5555555555555358E-3</v>
      </c>
      <c r="S44" s="376"/>
      <c r="T44" s="208"/>
      <c r="U44" s="208"/>
      <c r="V44" s="191"/>
      <c r="W44" s="401"/>
      <c r="X44" s="89"/>
      <c r="Y44" s="89"/>
      <c r="Z44" s="89"/>
    </row>
    <row r="45" spans="1:26" hidden="1" x14ac:dyDescent="0.2">
      <c r="A45" s="384">
        <v>500</v>
      </c>
      <c r="B45" s="385" t="s">
        <v>140</v>
      </c>
      <c r="C45" s="386">
        <v>40</v>
      </c>
      <c r="D45" s="387">
        <f t="shared" si="0"/>
        <v>35</v>
      </c>
      <c r="E45" s="388">
        <f t="shared" si="1"/>
        <v>14</v>
      </c>
      <c r="F45" s="389">
        <f t="shared" si="2"/>
        <v>5255213</v>
      </c>
      <c r="G45" s="390">
        <f t="shared" si="3"/>
        <v>5</v>
      </c>
      <c r="H45" s="391">
        <f t="shared" si="4"/>
        <v>-2.777777777777779E-2</v>
      </c>
      <c r="I45" s="392">
        <f t="shared" si="5"/>
        <v>36.199999999999996</v>
      </c>
      <c r="J45" s="400">
        <f t="shared" si="7"/>
        <v>14</v>
      </c>
      <c r="K45" s="378">
        <f>IF($D$8/$C45&lt;3.8,K44,C45-10)</f>
        <v>6</v>
      </c>
      <c r="L45" s="394">
        <f t="shared" si="8"/>
        <v>5255220</v>
      </c>
      <c r="M45" s="395">
        <f t="shared" si="9"/>
        <v>5.3</v>
      </c>
      <c r="N45" s="378">
        <f t="shared" si="10"/>
        <v>1</v>
      </c>
      <c r="O45" s="396">
        <f t="shared" si="11"/>
        <v>4.2000000000000028</v>
      </c>
      <c r="P45" s="377">
        <f t="shared" si="12"/>
        <v>5255200</v>
      </c>
      <c r="Q45" s="397">
        <f t="shared" si="13"/>
        <v>4.4000000000000004</v>
      </c>
      <c r="R45" s="398">
        <f t="shared" si="6"/>
        <v>5.5555555555555358E-3</v>
      </c>
      <c r="S45" s="376"/>
      <c r="T45" s="208"/>
      <c r="U45" s="208"/>
      <c r="V45" s="191"/>
      <c r="W45" s="215"/>
      <c r="X45" s="89"/>
      <c r="Y45" s="89"/>
      <c r="Z45" s="89"/>
    </row>
    <row r="46" spans="1:26" hidden="1" x14ac:dyDescent="0.2">
      <c r="A46" s="342">
        <v>600</v>
      </c>
      <c r="B46" s="399" t="s">
        <v>141</v>
      </c>
      <c r="C46" s="107">
        <v>56</v>
      </c>
      <c r="D46" s="387">
        <f t="shared" si="0"/>
        <v>35</v>
      </c>
      <c r="E46" s="388">
        <f t="shared" si="1"/>
        <v>14</v>
      </c>
      <c r="F46" s="389">
        <f t="shared" si="2"/>
        <v>5255213</v>
      </c>
      <c r="G46" s="390">
        <f t="shared" si="3"/>
        <v>5</v>
      </c>
      <c r="H46" s="391">
        <f t="shared" si="4"/>
        <v>-2.777777777777779E-2</v>
      </c>
      <c r="I46" s="392">
        <f t="shared" si="5"/>
        <v>36.199999999999996</v>
      </c>
      <c r="J46" s="400">
        <f t="shared" si="7"/>
        <v>14</v>
      </c>
      <c r="K46" s="378">
        <f>IF($D$8/$C46&lt;3.8,K45,C46-15)</f>
        <v>6</v>
      </c>
      <c r="L46" s="394">
        <f t="shared" si="8"/>
        <v>5255220</v>
      </c>
      <c r="M46" s="395">
        <f t="shared" si="9"/>
        <v>5.3</v>
      </c>
      <c r="N46" s="378">
        <f t="shared" si="10"/>
        <v>1</v>
      </c>
      <c r="O46" s="396">
        <f t="shared" si="11"/>
        <v>4.2000000000000028</v>
      </c>
      <c r="P46" s="377">
        <f t="shared" si="12"/>
        <v>5255200</v>
      </c>
      <c r="Q46" s="397">
        <f t="shared" si="13"/>
        <v>4.4000000000000004</v>
      </c>
      <c r="R46" s="398">
        <f t="shared" si="6"/>
        <v>5.5555555555555358E-3</v>
      </c>
      <c r="S46" s="376"/>
      <c r="T46" s="208"/>
      <c r="U46" s="208"/>
      <c r="V46" s="191"/>
      <c r="W46" s="215"/>
      <c r="X46" s="89"/>
      <c r="Y46" s="89"/>
      <c r="Z46" s="89"/>
    </row>
    <row r="47" spans="1:26" hidden="1" x14ac:dyDescent="0.2">
      <c r="A47" s="384">
        <v>800</v>
      </c>
      <c r="B47" s="385" t="s">
        <v>142</v>
      </c>
      <c r="C47" s="386">
        <v>85</v>
      </c>
      <c r="D47" s="387">
        <f t="shared" si="0"/>
        <v>35</v>
      </c>
      <c r="E47" s="388">
        <f t="shared" si="1"/>
        <v>14</v>
      </c>
      <c r="F47" s="389">
        <f t="shared" si="2"/>
        <v>5255213</v>
      </c>
      <c r="G47" s="390">
        <f t="shared" si="3"/>
        <v>5</v>
      </c>
      <c r="H47" s="391">
        <f t="shared" si="4"/>
        <v>-2.777777777777779E-2</v>
      </c>
      <c r="I47" s="392">
        <f t="shared" si="5"/>
        <v>36.199999999999996</v>
      </c>
      <c r="J47" s="400">
        <f t="shared" si="7"/>
        <v>14</v>
      </c>
      <c r="K47" s="378">
        <f>IF($D$8/$C47&lt;3.8,K46,C47-20)</f>
        <v>6</v>
      </c>
      <c r="L47" s="394">
        <f t="shared" si="8"/>
        <v>5255220</v>
      </c>
      <c r="M47" s="395">
        <f t="shared" si="9"/>
        <v>5.3</v>
      </c>
      <c r="N47" s="378">
        <f t="shared" si="10"/>
        <v>1</v>
      </c>
      <c r="O47" s="396">
        <f t="shared" si="11"/>
        <v>4.2000000000000028</v>
      </c>
      <c r="P47" s="377">
        <f t="shared" si="12"/>
        <v>5255200</v>
      </c>
      <c r="Q47" s="397">
        <f t="shared" si="13"/>
        <v>4.4000000000000004</v>
      </c>
      <c r="R47" s="398">
        <f t="shared" si="6"/>
        <v>5.5555555555555358E-3</v>
      </c>
      <c r="S47" s="376"/>
      <c r="T47" s="356"/>
      <c r="U47" s="89"/>
      <c r="V47" s="89"/>
      <c r="W47" s="89"/>
      <c r="X47" s="89"/>
      <c r="Y47" s="89"/>
      <c r="Z47" s="89"/>
    </row>
    <row r="48" spans="1:26" hidden="1" x14ac:dyDescent="0.2">
      <c r="A48" s="78"/>
      <c r="B48" s="79"/>
      <c r="C48" s="79"/>
      <c r="D48" s="79"/>
      <c r="E48" s="79"/>
      <c r="F48" s="79"/>
      <c r="G48" s="79"/>
      <c r="H48" s="79"/>
      <c r="I48" s="191"/>
      <c r="J48" s="340"/>
      <c r="K48" s="79"/>
      <c r="L48" s="79"/>
      <c r="M48" s="79"/>
      <c r="N48" s="79"/>
      <c r="O48" s="79"/>
      <c r="P48" s="79"/>
      <c r="Q48" s="79"/>
      <c r="R48" s="209"/>
      <c r="S48" s="376"/>
      <c r="T48" s="356"/>
      <c r="U48" s="89"/>
      <c r="V48" s="89"/>
      <c r="W48" s="89"/>
      <c r="X48" s="89"/>
      <c r="Y48" s="89"/>
      <c r="Z48" s="89"/>
    </row>
    <row r="49" spans="1:34" hidden="1" x14ac:dyDescent="0.2">
      <c r="A49" s="402"/>
      <c r="B49" s="403" t="s">
        <v>143</v>
      </c>
      <c r="C49" s="79"/>
      <c r="D49" s="208"/>
      <c r="E49" s="208"/>
      <c r="F49" s="79"/>
      <c r="G49" s="79"/>
      <c r="H49" s="79"/>
      <c r="I49" s="278" t="s">
        <v>144</v>
      </c>
      <c r="J49" s="404" t="s">
        <v>145</v>
      </c>
      <c r="K49" s="372"/>
      <c r="L49" s="372"/>
      <c r="M49" s="372"/>
      <c r="N49" s="372"/>
      <c r="O49" s="372"/>
      <c r="P49" s="79"/>
      <c r="Q49" s="79"/>
      <c r="R49" s="209"/>
      <c r="S49" s="176"/>
      <c r="T49" s="356"/>
      <c r="U49" s="89"/>
      <c r="V49" s="89"/>
      <c r="W49" s="89"/>
      <c r="X49" s="89"/>
      <c r="Y49" s="89"/>
      <c r="Z49" s="89"/>
    </row>
    <row r="50" spans="1:34" hidden="1" x14ac:dyDescent="0.2">
      <c r="A50" s="402"/>
      <c r="B50" s="405" t="s">
        <v>146</v>
      </c>
      <c r="C50" s="80"/>
      <c r="D50" s="406"/>
      <c r="E50" s="79"/>
      <c r="F50" s="79"/>
      <c r="G50" s="89"/>
      <c r="H50" s="89"/>
      <c r="I50" s="89"/>
      <c r="J50" s="79"/>
      <c r="K50" s="79"/>
      <c r="L50" s="79"/>
      <c r="M50" s="176" t="s">
        <v>147</v>
      </c>
      <c r="N50" s="79"/>
      <c r="O50" s="79"/>
      <c r="P50" s="79"/>
      <c r="Q50" s="79"/>
      <c r="R50" s="209"/>
      <c r="S50" s="376"/>
      <c r="T50" s="356"/>
      <c r="U50" s="89"/>
      <c r="V50" s="89"/>
      <c r="W50" s="89"/>
      <c r="X50" s="89"/>
      <c r="Y50" s="89"/>
      <c r="Z50" s="89"/>
    </row>
    <row r="51" spans="1:34" hidden="1" x14ac:dyDescent="0.2">
      <c r="A51" s="402"/>
      <c r="B51" s="403" t="s">
        <v>148</v>
      </c>
      <c r="C51" s="174"/>
      <c r="D51" s="174"/>
      <c r="E51" s="174"/>
      <c r="F51" s="79"/>
      <c r="G51" s="79"/>
      <c r="H51" s="174"/>
      <c r="I51" s="174"/>
      <c r="J51" s="79"/>
      <c r="K51" s="79"/>
      <c r="L51" s="79"/>
      <c r="M51" s="371" t="s">
        <v>149</v>
      </c>
      <c r="N51" s="79"/>
      <c r="O51" s="79"/>
      <c r="P51" s="79"/>
      <c r="Q51" s="79"/>
      <c r="R51" s="209"/>
      <c r="S51" s="376"/>
      <c r="T51" s="356"/>
      <c r="U51" s="89"/>
      <c r="V51" s="89"/>
      <c r="W51" s="89"/>
      <c r="X51" s="89"/>
      <c r="Y51" s="89"/>
      <c r="Z51" s="89"/>
    </row>
    <row r="52" spans="1:34" hidden="1" x14ac:dyDescent="0.2">
      <c r="A52" s="407"/>
      <c r="B52" s="79"/>
      <c r="C52" s="654" t="s">
        <v>150</v>
      </c>
      <c r="D52" s="654"/>
      <c r="E52" s="654"/>
      <c r="F52" s="654"/>
      <c r="G52" s="654"/>
      <c r="H52" s="654"/>
      <c r="I52" s="654"/>
      <c r="J52" s="372"/>
      <c r="K52" s="79"/>
      <c r="L52" s="79"/>
      <c r="M52" s="79"/>
      <c r="N52" s="79"/>
      <c r="O52" s="79"/>
      <c r="P52" s="79"/>
      <c r="Q52" s="79"/>
      <c r="R52" s="209"/>
      <c r="S52" s="376"/>
      <c r="T52" s="356"/>
      <c r="U52" s="89"/>
      <c r="V52" s="89"/>
      <c r="W52" s="89"/>
      <c r="X52" s="89"/>
      <c r="Y52" s="89"/>
      <c r="Z52" s="89"/>
    </row>
    <row r="53" spans="1:34" hidden="1" x14ac:dyDescent="0.2">
      <c r="A53" s="408"/>
      <c r="B53" s="79"/>
      <c r="C53" s="655" t="s">
        <v>101</v>
      </c>
      <c r="D53" s="655"/>
      <c r="E53" s="655"/>
      <c r="F53" s="655"/>
      <c r="G53" s="655" t="s">
        <v>102</v>
      </c>
      <c r="H53" s="655"/>
      <c r="I53" s="655"/>
      <c r="J53" s="79"/>
      <c r="K53" s="79"/>
      <c r="L53" s="79"/>
      <c r="M53" s="79" t="s">
        <v>151</v>
      </c>
      <c r="N53" s="79"/>
      <c r="O53" s="79"/>
      <c r="P53" s="79"/>
      <c r="Q53" s="79"/>
      <c r="R53" s="209"/>
      <c r="S53" s="376"/>
      <c r="T53" s="356"/>
      <c r="U53" s="89"/>
      <c r="V53" s="89"/>
      <c r="W53" s="89"/>
      <c r="X53" s="89"/>
      <c r="Y53" s="89"/>
      <c r="Z53" s="89"/>
    </row>
    <row r="54" spans="1:34" hidden="1" x14ac:dyDescent="0.2">
      <c r="A54" s="409"/>
      <c r="B54" s="410"/>
      <c r="C54" s="174" t="s">
        <v>94</v>
      </c>
      <c r="D54" s="410" t="s">
        <v>109</v>
      </c>
      <c r="E54" s="174" t="s">
        <v>4</v>
      </c>
      <c r="F54" s="174"/>
      <c r="G54" s="410" t="s">
        <v>109</v>
      </c>
      <c r="H54" s="174" t="s">
        <v>4</v>
      </c>
      <c r="I54" s="174"/>
      <c r="J54" s="79"/>
      <c r="K54" s="411"/>
      <c r="L54" s="403"/>
      <c r="M54" s="79"/>
      <c r="N54" s="79"/>
      <c r="O54" s="79"/>
      <c r="P54" s="79"/>
      <c r="Q54" s="79"/>
      <c r="R54" s="209"/>
      <c r="S54" s="376"/>
      <c r="T54" s="356"/>
      <c r="U54" s="89"/>
      <c r="V54" s="89"/>
      <c r="W54" s="89"/>
      <c r="X54" s="89"/>
      <c r="Y54" s="89"/>
      <c r="Z54" s="89"/>
    </row>
    <row r="55" spans="1:34" hidden="1" x14ac:dyDescent="0.2">
      <c r="A55" s="78"/>
      <c r="B55" s="79"/>
      <c r="C55" s="174"/>
      <c r="D55" s="79"/>
      <c r="E55" s="174" t="s">
        <v>105</v>
      </c>
      <c r="F55" s="174" t="s">
        <v>103</v>
      </c>
      <c r="G55" s="174"/>
      <c r="H55" s="174" t="s">
        <v>105</v>
      </c>
      <c r="I55" s="174" t="s">
        <v>103</v>
      </c>
      <c r="J55" s="79"/>
      <c r="K55" s="79"/>
      <c r="L55" s="79"/>
      <c r="M55" s="372" t="s">
        <v>152</v>
      </c>
      <c r="N55" s="79"/>
      <c r="O55" s="79"/>
      <c r="P55" s="79"/>
      <c r="Q55" s="79"/>
      <c r="R55" s="209"/>
      <c r="S55" s="376"/>
      <c r="T55" s="356"/>
      <c r="U55" s="89"/>
      <c r="V55" s="89"/>
      <c r="W55" s="89"/>
      <c r="X55" s="89"/>
      <c r="Y55" s="89"/>
      <c r="Z55" s="89"/>
    </row>
    <row r="56" spans="1:34" hidden="1" x14ac:dyDescent="0.2">
      <c r="A56" s="409"/>
      <c r="B56" s="412"/>
      <c r="C56" s="413"/>
      <c r="D56" s="412"/>
      <c r="E56" s="174"/>
      <c r="F56" s="174"/>
      <c r="G56" s="412">
        <f t="shared" ref="G56:I99" si="14">D57</f>
        <v>0</v>
      </c>
      <c r="H56" s="174"/>
      <c r="I56" s="174"/>
      <c r="J56" s="79"/>
      <c r="K56" s="79"/>
      <c r="L56" s="79"/>
      <c r="M56" s="79"/>
      <c r="N56" s="79"/>
      <c r="O56" s="79"/>
      <c r="P56" s="79"/>
      <c r="Q56" s="79"/>
      <c r="R56" s="209"/>
      <c r="S56" s="376"/>
      <c r="T56" s="356"/>
      <c r="U56" s="89"/>
      <c r="V56" s="89"/>
      <c r="W56" s="89"/>
      <c r="X56" s="89"/>
      <c r="Y56" s="89"/>
      <c r="Z56" s="89"/>
    </row>
    <row r="57" spans="1:34" hidden="1" x14ac:dyDescent="0.2">
      <c r="A57" s="408"/>
      <c r="B57" s="412"/>
      <c r="C57" s="414"/>
      <c r="D57" s="412">
        <v>0</v>
      </c>
      <c r="E57" s="89"/>
      <c r="F57" s="89"/>
      <c r="G57" s="412">
        <f t="shared" si="14"/>
        <v>3.8</v>
      </c>
      <c r="H57" s="415">
        <f t="shared" si="14"/>
        <v>13</v>
      </c>
      <c r="I57" s="415">
        <f t="shared" si="14"/>
        <v>5255179</v>
      </c>
      <c r="J57" s="79"/>
      <c r="K57" s="392">
        <f>D33</f>
        <v>35</v>
      </c>
      <c r="L57" s="372" t="s">
        <v>153</v>
      </c>
      <c r="M57" s="79" t="s">
        <v>143</v>
      </c>
      <c r="N57" s="79"/>
      <c r="O57" s="79"/>
      <c r="P57" s="79"/>
      <c r="Q57" s="79"/>
      <c r="R57" s="209"/>
      <c r="S57" s="376"/>
      <c r="T57" s="356"/>
      <c r="U57" s="89"/>
      <c r="V57" s="89"/>
      <c r="W57" s="89"/>
      <c r="X57" s="89"/>
      <c r="Y57" s="89"/>
      <c r="Z57" s="89"/>
      <c r="AC57" s="79"/>
      <c r="AD57" s="79"/>
      <c r="AE57" s="79"/>
      <c r="AF57" s="79"/>
      <c r="AG57" s="79"/>
      <c r="AH57" s="79"/>
    </row>
    <row r="58" spans="1:34" hidden="1" x14ac:dyDescent="0.2">
      <c r="A58" s="408"/>
      <c r="B58" s="412"/>
      <c r="C58" s="414">
        <v>3820</v>
      </c>
      <c r="D58" s="412">
        <v>3.8</v>
      </c>
      <c r="E58" s="89">
        <v>13</v>
      </c>
      <c r="F58" s="89">
        <v>5255179</v>
      </c>
      <c r="G58" s="412">
        <f t="shared" si="14"/>
        <v>3.9</v>
      </c>
      <c r="H58" s="415">
        <f t="shared" si="14"/>
        <v>13</v>
      </c>
      <c r="I58" s="415">
        <f t="shared" si="14"/>
        <v>5255184</v>
      </c>
      <c r="J58" s="79"/>
      <c r="K58" s="416">
        <f>E33</f>
        <v>40</v>
      </c>
      <c r="L58" s="372" t="s">
        <v>154</v>
      </c>
      <c r="M58" s="79" t="s">
        <v>155</v>
      </c>
      <c r="N58" s="79"/>
      <c r="O58" s="79"/>
      <c r="P58" s="79"/>
      <c r="Q58" s="79"/>
      <c r="R58" s="209"/>
      <c r="S58" s="376"/>
      <c r="T58" s="356"/>
      <c r="U58" s="89"/>
      <c r="V58" s="89"/>
      <c r="W58" s="89"/>
      <c r="X58" s="89"/>
      <c r="Y58" s="89"/>
      <c r="Z58" s="89"/>
      <c r="AC58" s="79"/>
      <c r="AD58" s="89"/>
      <c r="AE58" s="89"/>
      <c r="AF58" s="89"/>
      <c r="AG58" s="79"/>
      <c r="AH58" s="79"/>
    </row>
    <row r="59" spans="1:34" hidden="1" x14ac:dyDescent="0.2">
      <c r="A59" s="408"/>
      <c r="B59" s="412"/>
      <c r="C59" s="89">
        <v>3931</v>
      </c>
      <c r="D59" s="412">
        <v>3.9</v>
      </c>
      <c r="E59" s="89">
        <v>13</v>
      </c>
      <c r="F59" s="89">
        <v>5255184</v>
      </c>
      <c r="G59" s="412">
        <f t="shared" si="14"/>
        <v>4</v>
      </c>
      <c r="H59" s="415">
        <f t="shared" si="14"/>
        <v>13</v>
      </c>
      <c r="I59" s="415">
        <f t="shared" si="14"/>
        <v>5255189</v>
      </c>
      <c r="J59" s="79"/>
      <c r="K59" s="416">
        <f>F33</f>
        <v>5266391</v>
      </c>
      <c r="L59" s="372" t="s">
        <v>156</v>
      </c>
      <c r="M59" s="417" t="s">
        <v>157</v>
      </c>
      <c r="N59" s="79"/>
      <c r="O59" s="79"/>
      <c r="P59" s="79"/>
      <c r="Q59" s="79"/>
      <c r="R59" s="209"/>
      <c r="S59" s="376"/>
      <c r="T59" s="356"/>
      <c r="U59" s="89"/>
      <c r="V59" s="89"/>
      <c r="W59" s="89"/>
      <c r="X59" s="89"/>
      <c r="Y59" s="89"/>
      <c r="Z59" s="89"/>
      <c r="AC59" s="79"/>
      <c r="AD59" s="89"/>
      <c r="AE59" s="89"/>
      <c r="AF59" s="89"/>
      <c r="AG59" s="79"/>
      <c r="AH59" s="79"/>
    </row>
    <row r="60" spans="1:34" hidden="1" x14ac:dyDescent="0.2">
      <c r="A60" s="408"/>
      <c r="B60" s="412"/>
      <c r="C60" s="89">
        <v>4049</v>
      </c>
      <c r="D60" s="412">
        <v>4</v>
      </c>
      <c r="E60" s="89">
        <v>13</v>
      </c>
      <c r="F60" s="89">
        <v>5255189</v>
      </c>
      <c r="G60" s="412">
        <f t="shared" si="14"/>
        <v>4.2</v>
      </c>
      <c r="H60" s="415">
        <f t="shared" si="14"/>
        <v>13</v>
      </c>
      <c r="I60" s="415">
        <f t="shared" si="14"/>
        <v>5255194</v>
      </c>
      <c r="J60" s="79"/>
      <c r="K60" s="411">
        <f>G33</f>
        <v>35</v>
      </c>
      <c r="L60" s="278" t="s">
        <v>158</v>
      </c>
      <c r="M60" s="79" t="s">
        <v>159</v>
      </c>
      <c r="N60" s="79"/>
      <c r="O60" s="79"/>
      <c r="P60" s="79"/>
      <c r="Q60" s="79"/>
      <c r="R60" s="209"/>
      <c r="S60" s="376"/>
      <c r="T60" s="356"/>
      <c r="U60" s="89"/>
      <c r="V60" s="89"/>
      <c r="W60" s="89"/>
      <c r="X60" s="89"/>
      <c r="Y60" s="89"/>
      <c r="Z60" s="89"/>
      <c r="AC60" s="79"/>
      <c r="AD60" s="89"/>
      <c r="AE60" s="89"/>
      <c r="AF60" s="89"/>
      <c r="AG60" s="79"/>
      <c r="AH60" s="79"/>
    </row>
    <row r="61" spans="1:34" hidden="1" x14ac:dyDescent="0.2">
      <c r="A61" s="408"/>
      <c r="B61" s="412"/>
      <c r="C61" s="89">
        <v>4199</v>
      </c>
      <c r="D61" s="412">
        <v>4.2</v>
      </c>
      <c r="E61" s="89">
        <v>13</v>
      </c>
      <c r="F61" s="89">
        <v>5255194</v>
      </c>
      <c r="G61" s="412">
        <f t="shared" si="14"/>
        <v>4.4000000000000004</v>
      </c>
      <c r="H61" s="415">
        <f t="shared" si="14"/>
        <v>13</v>
      </c>
      <c r="I61" s="415">
        <f t="shared" si="14"/>
        <v>5255200</v>
      </c>
      <c r="J61" s="79"/>
      <c r="K61" s="79"/>
      <c r="L61" s="79"/>
      <c r="M61" s="79"/>
      <c r="N61" s="79"/>
      <c r="O61" s="79"/>
      <c r="P61" s="79"/>
      <c r="Q61" s="79"/>
      <c r="R61" s="209"/>
      <c r="S61" s="376"/>
      <c r="T61" s="356"/>
      <c r="U61" s="89"/>
      <c r="V61" s="89"/>
      <c r="W61" s="89"/>
      <c r="X61" s="89"/>
      <c r="Y61" s="89"/>
      <c r="Z61" s="89"/>
      <c r="AC61" s="79"/>
      <c r="AD61" s="89"/>
      <c r="AE61" s="89"/>
      <c r="AF61" s="89"/>
      <c r="AG61" s="79"/>
      <c r="AH61" s="79"/>
    </row>
    <row r="62" spans="1:34" hidden="1" x14ac:dyDescent="0.2">
      <c r="A62" s="408"/>
      <c r="B62" s="412"/>
      <c r="C62" s="89">
        <v>4399</v>
      </c>
      <c r="D62" s="412">
        <v>4.4000000000000004</v>
      </c>
      <c r="E62" s="89">
        <v>13</v>
      </c>
      <c r="F62" s="89">
        <v>5255200</v>
      </c>
      <c r="G62" s="412">
        <f t="shared" si="14"/>
        <v>4.5999999999999996</v>
      </c>
      <c r="H62" s="415">
        <f t="shared" si="14"/>
        <v>14</v>
      </c>
      <c r="I62" s="415">
        <f t="shared" si="14"/>
        <v>5255206</v>
      </c>
      <c r="J62" s="79"/>
      <c r="K62" s="79"/>
      <c r="L62" s="79"/>
      <c r="M62" s="79"/>
      <c r="N62" s="79"/>
      <c r="O62" s="79"/>
      <c r="P62" s="79"/>
      <c r="Q62" s="79"/>
      <c r="R62" s="209"/>
      <c r="S62" s="376"/>
      <c r="T62" s="356"/>
      <c r="U62" s="89"/>
      <c r="V62" s="89"/>
      <c r="W62" s="89"/>
      <c r="X62" s="89"/>
      <c r="Y62" s="89"/>
      <c r="Z62" s="89"/>
      <c r="AC62" s="79"/>
      <c r="AD62" s="89"/>
      <c r="AE62" s="89"/>
      <c r="AF62" s="89"/>
      <c r="AG62" s="79"/>
      <c r="AH62" s="79"/>
    </row>
    <row r="63" spans="1:34" hidden="1" x14ac:dyDescent="0.2">
      <c r="A63" s="408"/>
      <c r="B63" s="412"/>
      <c r="C63" s="89">
        <v>4640</v>
      </c>
      <c r="D63" s="412">
        <v>4.5999999999999996</v>
      </c>
      <c r="E63" s="89">
        <v>14</v>
      </c>
      <c r="F63" s="89">
        <v>5255206</v>
      </c>
      <c r="G63" s="412">
        <f t="shared" si="14"/>
        <v>5</v>
      </c>
      <c r="H63" s="415">
        <f t="shared" si="14"/>
        <v>14</v>
      </c>
      <c r="I63" s="415">
        <f t="shared" si="14"/>
        <v>5255213</v>
      </c>
      <c r="J63" s="79"/>
      <c r="K63" s="79" t="s">
        <v>160</v>
      </c>
      <c r="L63" s="79"/>
      <c r="M63" s="79"/>
      <c r="N63" s="79"/>
      <c r="O63" s="79"/>
      <c r="P63" s="79"/>
      <c r="Q63" s="79"/>
      <c r="R63" s="209"/>
      <c r="S63" s="376"/>
      <c r="T63" s="356"/>
      <c r="U63" s="89"/>
      <c r="V63" s="89"/>
      <c r="W63" s="89"/>
      <c r="X63" s="89"/>
      <c r="Y63" s="89"/>
      <c r="Z63" s="89"/>
      <c r="AC63" s="79"/>
      <c r="AD63" s="89"/>
      <c r="AE63" s="89"/>
      <c r="AF63" s="89"/>
      <c r="AG63" s="79"/>
      <c r="AH63" s="79"/>
    </row>
    <row r="64" spans="1:34" hidden="1" x14ac:dyDescent="0.2">
      <c r="A64" s="408"/>
      <c r="B64" s="412"/>
      <c r="C64" s="89">
        <v>4951</v>
      </c>
      <c r="D64" s="412">
        <v>5</v>
      </c>
      <c r="E64" s="89">
        <v>14</v>
      </c>
      <c r="F64" s="89">
        <v>5255213</v>
      </c>
      <c r="G64" s="412">
        <f t="shared" si="14"/>
        <v>5.3</v>
      </c>
      <c r="H64" s="415">
        <f t="shared" si="14"/>
        <v>14</v>
      </c>
      <c r="I64" s="415">
        <f t="shared" si="14"/>
        <v>5255220</v>
      </c>
      <c r="J64" s="79"/>
      <c r="K64" s="418"/>
      <c r="L64" s="79"/>
      <c r="M64" s="79"/>
      <c r="N64" s="79"/>
      <c r="O64" s="79"/>
      <c r="P64" s="79"/>
      <c r="Q64" s="79"/>
      <c r="R64" s="209"/>
      <c r="S64" s="376"/>
      <c r="T64" s="356"/>
      <c r="U64" s="89"/>
      <c r="V64" s="89"/>
      <c r="W64" s="89"/>
      <c r="X64" s="89"/>
      <c r="Y64" s="89"/>
      <c r="Z64" s="89"/>
      <c r="AC64" s="79"/>
      <c r="AD64" s="89"/>
      <c r="AE64" s="89"/>
      <c r="AF64" s="89"/>
      <c r="AG64" s="79"/>
      <c r="AH64" s="79"/>
    </row>
    <row r="65" spans="1:34" hidden="1" x14ac:dyDescent="0.2">
      <c r="A65" s="402"/>
      <c r="B65" s="412"/>
      <c r="C65" s="89">
        <v>5310</v>
      </c>
      <c r="D65" s="412">
        <v>5.3</v>
      </c>
      <c r="E65" s="89">
        <v>14</v>
      </c>
      <c r="F65" s="89">
        <v>5255220</v>
      </c>
      <c r="G65" s="412">
        <f t="shared" si="14"/>
        <v>5.7</v>
      </c>
      <c r="H65" s="415">
        <f t="shared" si="14"/>
        <v>14</v>
      </c>
      <c r="I65" s="415">
        <f t="shared" si="14"/>
        <v>5255227</v>
      </c>
      <c r="J65" s="79"/>
      <c r="K65" s="418"/>
      <c r="L65" s="79"/>
      <c r="M65" s="79"/>
      <c r="N65" s="79"/>
      <c r="O65" s="79"/>
      <c r="P65" s="79"/>
      <c r="Q65" s="79"/>
      <c r="R65" s="209"/>
      <c r="S65" s="376"/>
      <c r="T65" s="356"/>
      <c r="U65" s="89"/>
      <c r="V65" s="89"/>
      <c r="W65" s="89"/>
      <c r="X65" s="89"/>
      <c r="Y65" s="89"/>
      <c r="Z65" s="89"/>
      <c r="AC65" s="79"/>
      <c r="AD65" s="89"/>
      <c r="AE65" s="89"/>
      <c r="AF65" s="89"/>
      <c r="AG65" s="79"/>
      <c r="AH65" s="79"/>
    </row>
    <row r="66" spans="1:34" hidden="1" x14ac:dyDescent="0.2">
      <c r="A66" s="408"/>
      <c r="B66" s="412"/>
      <c r="C66" s="89">
        <v>5700</v>
      </c>
      <c r="D66" s="412">
        <v>5.7</v>
      </c>
      <c r="E66" s="89">
        <v>14</v>
      </c>
      <c r="F66" s="89">
        <v>5255227</v>
      </c>
      <c r="G66" s="412">
        <f t="shared" si="14"/>
        <v>6.2</v>
      </c>
      <c r="H66" s="415">
        <f t="shared" si="14"/>
        <v>14</v>
      </c>
      <c r="I66" s="415">
        <f t="shared" si="14"/>
        <v>5255235</v>
      </c>
      <c r="J66" s="79"/>
      <c r="K66" s="419" t="s">
        <v>76</v>
      </c>
      <c r="L66" s="418" t="s">
        <v>161</v>
      </c>
      <c r="M66" s="79"/>
      <c r="N66" s="79"/>
      <c r="O66" s="419" t="s">
        <v>76</v>
      </c>
      <c r="P66" s="418" t="s">
        <v>161</v>
      </c>
      <c r="Q66" s="79"/>
      <c r="R66" s="209"/>
      <c r="S66" s="376"/>
      <c r="T66" s="356"/>
      <c r="U66" s="89"/>
      <c r="V66" s="89"/>
      <c r="W66" s="89"/>
      <c r="X66" s="89"/>
      <c r="Y66" s="89"/>
      <c r="Z66" s="89"/>
      <c r="AC66" s="79"/>
      <c r="AD66" s="89"/>
      <c r="AE66" s="89"/>
      <c r="AF66" s="89"/>
      <c r="AG66" s="79"/>
      <c r="AH66" s="79"/>
    </row>
    <row r="67" spans="1:34" hidden="1" x14ac:dyDescent="0.2">
      <c r="A67" s="408"/>
      <c r="B67" s="412"/>
      <c r="C67" s="89">
        <v>6209</v>
      </c>
      <c r="D67" s="412">
        <v>6.2</v>
      </c>
      <c r="E67" s="89">
        <v>14</v>
      </c>
      <c r="F67" s="89">
        <v>5255235</v>
      </c>
      <c r="G67" s="412">
        <f t="shared" si="14"/>
        <v>6.5</v>
      </c>
      <c r="H67" s="415">
        <f t="shared" si="14"/>
        <v>14</v>
      </c>
      <c r="I67" s="415">
        <f t="shared" si="14"/>
        <v>5255243</v>
      </c>
      <c r="J67" s="79"/>
      <c r="K67" s="386">
        <v>50</v>
      </c>
      <c r="L67" s="278" t="s">
        <v>237</v>
      </c>
      <c r="M67" s="79"/>
      <c r="N67" s="79"/>
      <c r="O67" s="386">
        <v>50</v>
      </c>
      <c r="P67" s="372" t="s">
        <v>204</v>
      </c>
      <c r="Q67" s="79"/>
      <c r="R67" s="209"/>
      <c r="S67" s="376"/>
      <c r="T67" s="356"/>
      <c r="U67" s="89"/>
      <c r="V67" s="89"/>
      <c r="W67" s="89"/>
      <c r="X67" s="89"/>
      <c r="Y67" s="89"/>
      <c r="Z67" s="89"/>
      <c r="AC67" s="79"/>
      <c r="AD67" s="89"/>
      <c r="AE67" s="89"/>
      <c r="AF67" s="89"/>
      <c r="AG67" s="79"/>
      <c r="AH67" s="79"/>
    </row>
    <row r="68" spans="1:34" hidden="1" x14ac:dyDescent="0.2">
      <c r="A68" s="408"/>
      <c r="B68" s="412"/>
      <c r="C68" s="89">
        <v>6511</v>
      </c>
      <c r="D68" s="412">
        <v>6.5</v>
      </c>
      <c r="E68" s="89">
        <v>14</v>
      </c>
      <c r="F68" s="89">
        <v>5255243</v>
      </c>
      <c r="G68" s="412">
        <f t="shared" si="14"/>
        <v>7.1</v>
      </c>
      <c r="H68" s="415">
        <f t="shared" si="14"/>
        <v>14</v>
      </c>
      <c r="I68" s="415">
        <f t="shared" si="14"/>
        <v>5255251</v>
      </c>
      <c r="J68" s="79"/>
      <c r="K68" s="80">
        <v>65</v>
      </c>
      <c r="L68" s="278" t="s">
        <v>237</v>
      </c>
      <c r="M68" s="79"/>
      <c r="N68" s="79"/>
      <c r="O68" s="80">
        <v>65</v>
      </c>
      <c r="P68" s="405" t="s">
        <v>205</v>
      </c>
      <c r="Q68" s="79"/>
      <c r="R68" s="209"/>
      <c r="S68" s="376"/>
      <c r="T68" s="356"/>
      <c r="U68" s="89"/>
      <c r="V68" s="89"/>
      <c r="W68" s="89"/>
      <c r="X68" s="89"/>
      <c r="Y68" s="89"/>
      <c r="Z68" s="89"/>
      <c r="AC68" s="79"/>
      <c r="AD68" s="89"/>
      <c r="AE68" s="89"/>
      <c r="AF68" s="89"/>
      <c r="AG68" s="79"/>
      <c r="AH68" s="79"/>
    </row>
    <row r="69" spans="1:34" hidden="1" x14ac:dyDescent="0.2">
      <c r="A69" s="408"/>
      <c r="B69" s="412"/>
      <c r="C69" s="89">
        <v>7081</v>
      </c>
      <c r="D69" s="412">
        <v>7.1</v>
      </c>
      <c r="E69" s="89">
        <v>14</v>
      </c>
      <c r="F69" s="89">
        <v>5255251</v>
      </c>
      <c r="G69" s="412">
        <f t="shared" si="14"/>
        <v>7.9</v>
      </c>
      <c r="H69" s="415">
        <f t="shared" si="14"/>
        <v>15</v>
      </c>
      <c r="I69" s="415">
        <f t="shared" si="14"/>
        <v>5255260</v>
      </c>
      <c r="J69" s="79"/>
      <c r="K69" s="386">
        <v>80</v>
      </c>
      <c r="L69" s="278" t="s">
        <v>237</v>
      </c>
      <c r="M69" s="79"/>
      <c r="N69" s="79"/>
      <c r="O69" s="386">
        <v>80</v>
      </c>
      <c r="P69" s="278" t="s">
        <v>206</v>
      </c>
      <c r="Q69" s="79"/>
      <c r="R69" s="209"/>
      <c r="S69" s="376"/>
      <c r="T69" s="356"/>
      <c r="U69" s="89"/>
      <c r="V69" s="89"/>
      <c r="W69" s="89"/>
      <c r="X69" s="89"/>
      <c r="Y69" s="89"/>
      <c r="Z69" s="89"/>
      <c r="AC69" s="79"/>
      <c r="AD69" s="89"/>
      <c r="AE69" s="89"/>
      <c r="AF69" s="89"/>
      <c r="AG69" s="79"/>
      <c r="AH69" s="79"/>
    </row>
    <row r="70" spans="1:34" hidden="1" x14ac:dyDescent="0.2">
      <c r="A70" s="408"/>
      <c r="B70" s="412"/>
      <c r="C70" s="89">
        <v>7901</v>
      </c>
      <c r="D70" s="412">
        <v>7.9</v>
      </c>
      <c r="E70" s="89">
        <v>15</v>
      </c>
      <c r="F70" s="89">
        <v>5255260</v>
      </c>
      <c r="G70" s="412">
        <f t="shared" si="14"/>
        <v>8.9</v>
      </c>
      <c r="H70" s="415">
        <f t="shared" si="14"/>
        <v>16</v>
      </c>
      <c r="I70" s="415">
        <f t="shared" si="14"/>
        <v>5255269</v>
      </c>
      <c r="J70" s="79"/>
      <c r="K70" s="80">
        <v>100</v>
      </c>
      <c r="L70" s="278" t="s">
        <v>207</v>
      </c>
      <c r="M70" s="79"/>
      <c r="N70" s="79"/>
      <c r="O70" s="80">
        <v>100</v>
      </c>
      <c r="P70" s="278" t="s">
        <v>225</v>
      </c>
      <c r="Q70" s="79"/>
      <c r="R70" s="209"/>
      <c r="S70" s="376"/>
      <c r="T70" s="356"/>
      <c r="U70" s="89"/>
      <c r="V70" s="89"/>
      <c r="W70" s="89"/>
      <c r="X70" s="89"/>
      <c r="Y70" s="89"/>
      <c r="Z70" s="89"/>
      <c r="AC70" s="79"/>
      <c r="AD70" s="89"/>
      <c r="AE70" s="89"/>
      <c r="AF70" s="89"/>
      <c r="AG70" s="79"/>
      <c r="AH70" s="79"/>
    </row>
    <row r="71" spans="1:34" hidden="1" x14ac:dyDescent="0.2">
      <c r="A71" s="408"/>
      <c r="B71" s="412"/>
      <c r="C71" s="89">
        <v>8900</v>
      </c>
      <c r="D71" s="412">
        <v>8.9</v>
      </c>
      <c r="E71" s="89">
        <v>16</v>
      </c>
      <c r="F71" s="89">
        <v>5255269</v>
      </c>
      <c r="G71" s="412">
        <f t="shared" si="14"/>
        <v>10.4</v>
      </c>
      <c r="H71" s="415">
        <f t="shared" si="14"/>
        <v>19</v>
      </c>
      <c r="I71" s="415">
        <f t="shared" si="14"/>
        <v>5255279</v>
      </c>
      <c r="J71" s="79"/>
      <c r="K71" s="386">
        <v>125</v>
      </c>
      <c r="L71" s="278" t="s">
        <v>208</v>
      </c>
      <c r="M71" s="79"/>
      <c r="N71" s="79"/>
      <c r="O71" s="386">
        <v>125</v>
      </c>
      <c r="P71" s="278" t="s">
        <v>226</v>
      </c>
      <c r="Q71" s="79"/>
      <c r="R71" s="209"/>
      <c r="S71" s="376"/>
      <c r="T71" s="356"/>
      <c r="U71" s="89"/>
      <c r="V71" s="89"/>
      <c r="W71" s="89"/>
      <c r="X71" s="89"/>
      <c r="Y71" s="89"/>
      <c r="Z71" s="89"/>
      <c r="AC71" s="79"/>
      <c r="AD71" s="89"/>
      <c r="AE71" s="89"/>
      <c r="AF71" s="89"/>
      <c r="AG71" s="79"/>
      <c r="AH71" s="79"/>
    </row>
    <row r="72" spans="1:34" hidden="1" x14ac:dyDescent="0.2">
      <c r="A72" s="408"/>
      <c r="B72" s="412"/>
      <c r="C72" s="89">
        <v>10399</v>
      </c>
      <c r="D72" s="412">
        <v>10.4</v>
      </c>
      <c r="E72" s="89">
        <v>19</v>
      </c>
      <c r="F72" s="89">
        <v>5255279</v>
      </c>
      <c r="G72" s="412">
        <f t="shared" si="14"/>
        <v>11.4</v>
      </c>
      <c r="H72" s="415">
        <f t="shared" si="14"/>
        <v>22</v>
      </c>
      <c r="I72" s="415">
        <f t="shared" si="14"/>
        <v>5255287</v>
      </c>
      <c r="J72" s="79"/>
      <c r="K72" s="80">
        <v>150</v>
      </c>
      <c r="L72" s="278" t="s">
        <v>209</v>
      </c>
      <c r="M72" s="79"/>
      <c r="N72" s="79"/>
      <c r="O72" s="80">
        <v>150</v>
      </c>
      <c r="P72" s="278" t="s">
        <v>227</v>
      </c>
      <c r="Q72" s="79"/>
      <c r="R72" s="209"/>
      <c r="S72" s="376"/>
      <c r="T72" s="356"/>
      <c r="U72" s="89"/>
      <c r="V72" s="89"/>
      <c r="W72" s="89"/>
      <c r="X72" s="89"/>
      <c r="Y72" s="89"/>
      <c r="Z72" s="89"/>
      <c r="AC72" s="79"/>
      <c r="AD72" s="89"/>
      <c r="AE72" s="89"/>
      <c r="AF72" s="89"/>
      <c r="AG72" s="79"/>
      <c r="AH72" s="79"/>
    </row>
    <row r="73" spans="1:34" hidden="1" x14ac:dyDescent="0.2">
      <c r="A73" s="408"/>
      <c r="B73" s="412"/>
      <c r="C73" s="89">
        <v>11355</v>
      </c>
      <c r="D73" s="412">
        <v>11.4</v>
      </c>
      <c r="E73" s="89">
        <v>22</v>
      </c>
      <c r="F73" s="89">
        <v>5255287</v>
      </c>
      <c r="G73" s="412">
        <f t="shared" si="14"/>
        <v>12.5</v>
      </c>
      <c r="H73" s="415">
        <f t="shared" si="14"/>
        <v>23</v>
      </c>
      <c r="I73" s="415">
        <f t="shared" si="14"/>
        <v>5255292</v>
      </c>
      <c r="J73" s="79"/>
      <c r="K73" s="386">
        <v>200</v>
      </c>
      <c r="L73" s="278" t="s">
        <v>210</v>
      </c>
      <c r="M73" s="79"/>
      <c r="N73" s="79"/>
      <c r="O73" s="386">
        <v>200</v>
      </c>
      <c r="P73" s="278" t="s">
        <v>228</v>
      </c>
      <c r="Q73" s="79"/>
      <c r="R73" s="209"/>
      <c r="S73" s="376"/>
      <c r="T73" s="356"/>
      <c r="U73" s="89"/>
      <c r="V73" s="89"/>
      <c r="W73" s="89"/>
      <c r="X73" s="89"/>
      <c r="Y73" s="89"/>
      <c r="Z73" s="89"/>
      <c r="AC73" s="79"/>
      <c r="AD73" s="89"/>
      <c r="AE73" s="89"/>
      <c r="AF73" s="89"/>
      <c r="AG73" s="79"/>
      <c r="AH73" s="79"/>
    </row>
    <row r="74" spans="1:34" hidden="1" x14ac:dyDescent="0.2">
      <c r="A74" s="408"/>
      <c r="B74" s="412"/>
      <c r="C74" s="89">
        <v>12491</v>
      </c>
      <c r="D74" s="412">
        <v>12.5</v>
      </c>
      <c r="E74" s="89">
        <v>23</v>
      </c>
      <c r="F74" s="89">
        <v>5255292</v>
      </c>
      <c r="G74" s="412">
        <f t="shared" si="14"/>
        <v>13.4</v>
      </c>
      <c r="H74" s="415">
        <f t="shared" si="14"/>
        <v>24</v>
      </c>
      <c r="I74" s="415">
        <f t="shared" si="14"/>
        <v>5255298</v>
      </c>
      <c r="J74" s="79"/>
      <c r="K74" s="80">
        <v>250</v>
      </c>
      <c r="L74" s="278" t="s">
        <v>211</v>
      </c>
      <c r="M74" s="79"/>
      <c r="N74" s="79"/>
      <c r="O74" s="80">
        <v>250</v>
      </c>
      <c r="P74" s="278" t="s">
        <v>229</v>
      </c>
      <c r="Q74" s="79"/>
      <c r="R74" s="209"/>
      <c r="S74" s="376"/>
      <c r="T74" s="356"/>
      <c r="U74" s="89"/>
      <c r="V74" s="89"/>
      <c r="W74" s="89"/>
      <c r="X74" s="89"/>
      <c r="Y74" s="89"/>
      <c r="Z74" s="89"/>
      <c r="AC74" s="79"/>
      <c r="AD74" s="89"/>
      <c r="AE74" s="89"/>
      <c r="AF74" s="89"/>
      <c r="AG74" s="79"/>
      <c r="AH74" s="79"/>
    </row>
    <row r="75" spans="1:34" hidden="1" x14ac:dyDescent="0.2">
      <c r="A75" s="408"/>
      <c r="B75" s="412"/>
      <c r="C75" s="89">
        <v>13399</v>
      </c>
      <c r="D75" s="412">
        <v>13.4</v>
      </c>
      <c r="E75" s="89">
        <v>24</v>
      </c>
      <c r="F75" s="89">
        <v>5255298</v>
      </c>
      <c r="G75" s="412">
        <f t="shared" si="14"/>
        <v>14.8</v>
      </c>
      <c r="H75" s="415">
        <f t="shared" si="14"/>
        <v>27</v>
      </c>
      <c r="I75" s="415">
        <f t="shared" si="14"/>
        <v>5255303</v>
      </c>
      <c r="J75" s="79"/>
      <c r="K75" s="386">
        <v>300</v>
      </c>
      <c r="L75" s="278" t="s">
        <v>212</v>
      </c>
      <c r="M75" s="79"/>
      <c r="N75" s="79"/>
      <c r="O75" s="386">
        <v>300</v>
      </c>
      <c r="P75" s="278" t="s">
        <v>230</v>
      </c>
      <c r="Q75" s="79"/>
      <c r="R75" s="209"/>
      <c r="S75" s="376"/>
      <c r="T75" s="356"/>
      <c r="U75" s="89"/>
      <c r="V75" s="89"/>
      <c r="W75" s="89"/>
      <c r="X75" s="89"/>
      <c r="Y75" s="89"/>
      <c r="Z75" s="89"/>
      <c r="AC75" s="79"/>
      <c r="AD75" s="89"/>
      <c r="AE75" s="89"/>
      <c r="AF75" s="89"/>
      <c r="AG75" s="79"/>
      <c r="AH75" s="79"/>
    </row>
    <row r="76" spans="1:34" hidden="1" x14ac:dyDescent="0.2">
      <c r="A76" s="408"/>
      <c r="B76" s="412"/>
      <c r="C76" s="89">
        <v>14762</v>
      </c>
      <c r="D76" s="412">
        <v>14.8</v>
      </c>
      <c r="E76" s="89">
        <v>27</v>
      </c>
      <c r="F76" s="89">
        <v>5255303</v>
      </c>
      <c r="G76" s="412">
        <f t="shared" si="14"/>
        <v>16</v>
      </c>
      <c r="H76" s="415">
        <f t="shared" si="14"/>
        <v>29</v>
      </c>
      <c r="I76" s="415">
        <f t="shared" si="14"/>
        <v>5255308</v>
      </c>
      <c r="J76" s="79"/>
      <c r="K76" s="80">
        <v>350</v>
      </c>
      <c r="L76" s="278" t="s">
        <v>213</v>
      </c>
      <c r="M76" s="79"/>
      <c r="N76" s="79"/>
      <c r="O76" s="80">
        <v>350</v>
      </c>
      <c r="P76" s="278" t="s">
        <v>231</v>
      </c>
      <c r="Q76" s="79"/>
      <c r="R76" s="209"/>
      <c r="S76" s="376"/>
      <c r="T76" s="356"/>
      <c r="U76" s="89"/>
      <c r="V76" s="89"/>
      <c r="W76" s="89"/>
      <c r="X76" s="89"/>
      <c r="Y76" s="89"/>
      <c r="Z76" s="89"/>
      <c r="AC76" s="79"/>
      <c r="AD76" s="89"/>
      <c r="AE76" s="89"/>
      <c r="AF76" s="89"/>
      <c r="AG76" s="79"/>
      <c r="AH76" s="79"/>
    </row>
    <row r="77" spans="1:34" hidden="1" x14ac:dyDescent="0.2">
      <c r="A77" s="408"/>
      <c r="B77" s="412"/>
      <c r="C77" s="89">
        <v>15999</v>
      </c>
      <c r="D77" s="412">
        <v>16</v>
      </c>
      <c r="E77" s="89">
        <v>29</v>
      </c>
      <c r="F77" s="89">
        <v>5255308</v>
      </c>
      <c r="G77" s="412">
        <f t="shared" si="14"/>
        <v>17</v>
      </c>
      <c r="H77" s="415">
        <f t="shared" si="14"/>
        <v>34</v>
      </c>
      <c r="I77" s="415">
        <f t="shared" si="14"/>
        <v>5266285</v>
      </c>
      <c r="J77" s="79"/>
      <c r="K77" s="386">
        <v>400</v>
      </c>
      <c r="L77" s="278" t="s">
        <v>214</v>
      </c>
      <c r="M77" s="79"/>
      <c r="N77" s="79"/>
      <c r="O77" s="386">
        <v>400</v>
      </c>
      <c r="P77" s="278" t="s">
        <v>232</v>
      </c>
      <c r="Q77" s="79"/>
      <c r="R77" s="209"/>
      <c r="S77" s="376"/>
      <c r="T77" s="356"/>
      <c r="U77" s="89"/>
      <c r="V77" s="89"/>
      <c r="W77" s="89"/>
      <c r="X77" s="89"/>
      <c r="Y77" s="89"/>
      <c r="Z77" s="89"/>
      <c r="AC77" s="79"/>
      <c r="AD77" s="89"/>
      <c r="AE77" s="89"/>
      <c r="AF77" s="89"/>
      <c r="AG77" s="79"/>
      <c r="AH77" s="79"/>
    </row>
    <row r="78" spans="1:34" hidden="1" x14ac:dyDescent="0.2">
      <c r="A78" s="408"/>
      <c r="B78" s="412"/>
      <c r="C78" s="89">
        <v>17037</v>
      </c>
      <c r="D78" s="412">
        <v>17</v>
      </c>
      <c r="E78" s="89">
        <v>34</v>
      </c>
      <c r="F78" s="89">
        <v>5266285</v>
      </c>
      <c r="G78" s="412">
        <f t="shared" si="14"/>
        <v>18.100000000000001</v>
      </c>
      <c r="H78" s="415">
        <f t="shared" si="14"/>
        <v>34</v>
      </c>
      <c r="I78" s="415">
        <f t="shared" si="14"/>
        <v>5266292</v>
      </c>
      <c r="J78" s="79"/>
      <c r="K78" s="80">
        <v>450</v>
      </c>
      <c r="L78" s="278" t="s">
        <v>215</v>
      </c>
      <c r="M78" s="79"/>
      <c r="N78" s="79"/>
      <c r="O78" s="80">
        <v>450</v>
      </c>
      <c r="P78" s="278" t="s">
        <v>233</v>
      </c>
      <c r="Q78" s="79"/>
      <c r="R78" s="209"/>
      <c r="S78" s="376"/>
      <c r="T78" s="356"/>
      <c r="U78" s="89"/>
      <c r="V78" s="89"/>
      <c r="W78" s="89"/>
      <c r="X78" s="89"/>
      <c r="Y78" s="89"/>
      <c r="Z78" s="89"/>
      <c r="AC78" s="79"/>
      <c r="AD78" s="89"/>
      <c r="AE78" s="89"/>
      <c r="AF78" s="89"/>
      <c r="AG78" s="79"/>
      <c r="AH78" s="79"/>
    </row>
    <row r="79" spans="1:34" hidden="1" x14ac:dyDescent="0.2">
      <c r="A79" s="408"/>
      <c r="B79" s="412"/>
      <c r="C79" s="89">
        <v>18148</v>
      </c>
      <c r="D79" s="412">
        <v>18.100000000000001</v>
      </c>
      <c r="E79" s="89">
        <v>34</v>
      </c>
      <c r="F79" s="89">
        <v>5266292</v>
      </c>
      <c r="G79" s="412">
        <f t="shared" si="14"/>
        <v>18.8</v>
      </c>
      <c r="H79" s="415">
        <f t="shared" si="14"/>
        <v>35</v>
      </c>
      <c r="I79" s="415">
        <f t="shared" si="14"/>
        <v>5266301</v>
      </c>
      <c r="J79" s="79"/>
      <c r="K79" s="386">
        <v>500</v>
      </c>
      <c r="L79" s="278" t="s">
        <v>216</v>
      </c>
      <c r="M79" s="79"/>
      <c r="N79" s="79"/>
      <c r="O79" s="386">
        <v>500</v>
      </c>
      <c r="P79" s="278" t="s">
        <v>234</v>
      </c>
      <c r="Q79" s="79"/>
      <c r="R79" s="209"/>
      <c r="S79" s="376"/>
      <c r="T79" s="356"/>
      <c r="U79" s="89"/>
      <c r="V79" s="89"/>
      <c r="W79" s="89"/>
      <c r="X79" s="89"/>
      <c r="Y79" s="89"/>
      <c r="Z79" s="89"/>
      <c r="AC79" s="79"/>
      <c r="AD79" s="89"/>
      <c r="AE79" s="89"/>
      <c r="AF79" s="89"/>
      <c r="AG79" s="79"/>
      <c r="AH79" s="79"/>
    </row>
    <row r="80" spans="1:34" hidden="1" x14ac:dyDescent="0.2">
      <c r="A80" s="408"/>
      <c r="B80" s="412"/>
      <c r="C80" s="89">
        <v>18797</v>
      </c>
      <c r="D80" s="412">
        <v>18.8</v>
      </c>
      <c r="E80" s="89">
        <v>35</v>
      </c>
      <c r="F80" s="89">
        <v>5266301</v>
      </c>
      <c r="G80" s="412">
        <f t="shared" si="14"/>
        <v>19.5</v>
      </c>
      <c r="H80" s="415">
        <f t="shared" si="14"/>
        <v>35</v>
      </c>
      <c r="I80" s="415">
        <f t="shared" si="14"/>
        <v>5266305</v>
      </c>
      <c r="J80" s="79"/>
      <c r="K80" s="80">
        <v>600</v>
      </c>
      <c r="L80" s="278" t="s">
        <v>217</v>
      </c>
      <c r="M80" s="79"/>
      <c r="N80" s="79"/>
      <c r="O80" s="80">
        <v>600</v>
      </c>
      <c r="P80" s="278" t="s">
        <v>235</v>
      </c>
      <c r="Q80" s="79"/>
      <c r="R80" s="209"/>
      <c r="S80" s="376"/>
      <c r="T80" s="356"/>
      <c r="U80" s="89"/>
      <c r="V80" s="89"/>
      <c r="W80" s="89"/>
      <c r="X80" s="89"/>
      <c r="Y80" s="89"/>
      <c r="Z80" s="89"/>
      <c r="AC80" s="79"/>
      <c r="AD80" s="89"/>
      <c r="AE80" s="89"/>
      <c r="AF80" s="89"/>
      <c r="AG80" s="79"/>
      <c r="AH80" s="79"/>
    </row>
    <row r="81" spans="1:34" hidden="1" x14ac:dyDescent="0.2">
      <c r="A81" s="408"/>
      <c r="B81" s="412"/>
      <c r="C81" s="89">
        <v>19467</v>
      </c>
      <c r="D81" s="412">
        <v>19.5</v>
      </c>
      <c r="E81" s="89">
        <v>35</v>
      </c>
      <c r="F81" s="89">
        <v>5266305</v>
      </c>
      <c r="G81" s="412">
        <f t="shared" si="14"/>
        <v>20.5</v>
      </c>
      <c r="H81" s="415">
        <f t="shared" si="14"/>
        <v>35</v>
      </c>
      <c r="I81" s="415">
        <f t="shared" si="14"/>
        <v>5266312</v>
      </c>
      <c r="J81" s="79"/>
      <c r="K81" s="386">
        <v>800</v>
      </c>
      <c r="L81" s="278" t="s">
        <v>218</v>
      </c>
      <c r="M81" s="79"/>
      <c r="N81" s="79"/>
      <c r="O81" s="386">
        <v>800</v>
      </c>
      <c r="P81" s="278" t="s">
        <v>237</v>
      </c>
      <c r="Q81" s="79"/>
      <c r="R81" s="209"/>
      <c r="S81" s="376"/>
      <c r="T81" s="356"/>
      <c r="U81" s="89"/>
      <c r="V81" s="89"/>
      <c r="W81" s="89"/>
      <c r="X81" s="89"/>
      <c r="Y81" s="89"/>
      <c r="Z81" s="89"/>
      <c r="AC81" s="79"/>
      <c r="AD81" s="89"/>
      <c r="AE81" s="89"/>
      <c r="AF81" s="89"/>
      <c r="AG81" s="79"/>
      <c r="AH81" s="79"/>
    </row>
    <row r="82" spans="1:34" hidden="1" x14ac:dyDescent="0.2">
      <c r="A82" s="408"/>
      <c r="B82" s="412"/>
      <c r="C82" s="89">
        <v>20464</v>
      </c>
      <c r="D82" s="412">
        <v>20.5</v>
      </c>
      <c r="E82" s="89">
        <v>35</v>
      </c>
      <c r="F82" s="89">
        <v>5266312</v>
      </c>
      <c r="G82" s="412">
        <f t="shared" si="14"/>
        <v>21.5</v>
      </c>
      <c r="H82" s="415">
        <f t="shared" si="14"/>
        <v>36</v>
      </c>
      <c r="I82" s="415">
        <f t="shared" si="14"/>
        <v>5266319</v>
      </c>
      <c r="J82" s="79"/>
      <c r="K82" s="79"/>
      <c r="L82" s="79"/>
      <c r="M82" s="79"/>
      <c r="N82" s="79"/>
      <c r="O82" s="79"/>
      <c r="P82" s="79"/>
      <c r="Q82" s="79"/>
      <c r="R82" s="209"/>
      <c r="S82" s="376"/>
      <c r="T82" s="356"/>
      <c r="U82" s="89"/>
      <c r="V82" s="89"/>
      <c r="W82" s="89"/>
      <c r="X82" s="89"/>
      <c r="Y82" s="89"/>
      <c r="Z82" s="89"/>
      <c r="AC82" s="79"/>
      <c r="AD82" s="89"/>
      <c r="AE82" s="89"/>
      <c r="AF82" s="89"/>
      <c r="AG82" s="79"/>
      <c r="AH82" s="79"/>
    </row>
    <row r="83" spans="1:34" hidden="1" x14ac:dyDescent="0.2">
      <c r="A83" s="408"/>
      <c r="B83" s="412"/>
      <c r="C83" s="89">
        <v>21527</v>
      </c>
      <c r="D83" s="412">
        <v>21.5</v>
      </c>
      <c r="E83" s="89">
        <v>36</v>
      </c>
      <c r="F83" s="89">
        <v>5266319</v>
      </c>
      <c r="G83" s="412">
        <f t="shared" si="14"/>
        <v>22.4</v>
      </c>
      <c r="H83" s="415">
        <f t="shared" si="14"/>
        <v>36</v>
      </c>
      <c r="I83" s="415">
        <f t="shared" si="14"/>
        <v>5266326</v>
      </c>
      <c r="J83" s="79"/>
      <c r="K83" s="79"/>
      <c r="L83" s="79"/>
      <c r="M83" s="79"/>
      <c r="N83" s="79"/>
      <c r="O83" s="79"/>
      <c r="P83" s="79"/>
      <c r="Q83" s="79"/>
      <c r="R83" s="209"/>
      <c r="S83" s="376"/>
      <c r="T83" s="356"/>
      <c r="U83" s="89"/>
      <c r="V83" s="89"/>
      <c r="W83" s="89"/>
      <c r="X83" s="89"/>
      <c r="Y83" s="89"/>
      <c r="Z83" s="89"/>
      <c r="AC83" s="79"/>
      <c r="AD83" s="89"/>
      <c r="AE83" s="89"/>
      <c r="AF83" s="89"/>
      <c r="AG83" s="79"/>
      <c r="AH83" s="79"/>
    </row>
    <row r="84" spans="1:34" hidden="1" x14ac:dyDescent="0.2">
      <c r="A84" s="408"/>
      <c r="B84" s="412"/>
      <c r="C84" s="89">
        <v>22449</v>
      </c>
      <c r="D84" s="412">
        <v>22.4</v>
      </c>
      <c r="E84" s="89">
        <v>36</v>
      </c>
      <c r="F84" s="89">
        <v>5266326</v>
      </c>
      <c r="G84" s="412">
        <f t="shared" si="14"/>
        <v>23.5</v>
      </c>
      <c r="H84" s="415">
        <f t="shared" si="14"/>
        <v>36</v>
      </c>
      <c r="I84" s="415">
        <f t="shared" si="14"/>
        <v>5266332</v>
      </c>
      <c r="J84" s="79"/>
      <c r="K84" s="79"/>
      <c r="L84" s="79"/>
      <c r="M84" s="79"/>
      <c r="N84" s="79"/>
      <c r="O84" s="79"/>
      <c r="P84" s="79"/>
      <c r="Q84" s="79"/>
      <c r="R84" s="209"/>
      <c r="S84" s="376"/>
      <c r="T84" s="356"/>
      <c r="U84" s="89"/>
      <c r="V84" s="89"/>
      <c r="W84" s="89"/>
      <c r="X84" s="89"/>
      <c r="Y84" s="89"/>
      <c r="Z84" s="89"/>
      <c r="AC84" s="79"/>
      <c r="AD84" s="89"/>
      <c r="AE84" s="89"/>
      <c r="AF84" s="89"/>
      <c r="AG84" s="79"/>
      <c r="AH84" s="79"/>
    </row>
    <row r="85" spans="1:34" hidden="1" x14ac:dyDescent="0.2">
      <c r="A85" s="408"/>
      <c r="B85" s="412"/>
      <c r="C85" s="89">
        <v>23482</v>
      </c>
      <c r="D85" s="412">
        <v>23.5</v>
      </c>
      <c r="E85" s="89">
        <v>36</v>
      </c>
      <c r="F85" s="89">
        <v>5266332</v>
      </c>
      <c r="G85" s="412">
        <f t="shared" si="14"/>
        <v>24.5</v>
      </c>
      <c r="H85" s="415">
        <f t="shared" si="14"/>
        <v>37</v>
      </c>
      <c r="I85" s="415">
        <f t="shared" si="14"/>
        <v>5266338</v>
      </c>
      <c r="J85" s="79"/>
      <c r="K85" s="79"/>
      <c r="L85" s="79"/>
      <c r="M85" s="79"/>
      <c r="N85" s="79"/>
      <c r="O85" s="79"/>
      <c r="P85" s="79"/>
      <c r="Q85" s="79"/>
      <c r="R85" s="209"/>
      <c r="S85" s="376"/>
      <c r="T85" s="356"/>
      <c r="U85" s="89"/>
      <c r="V85" s="89"/>
      <c r="W85" s="89"/>
      <c r="X85" s="89"/>
      <c r="Y85" s="89"/>
      <c r="Z85" s="89"/>
      <c r="AC85" s="79"/>
      <c r="AD85" s="89"/>
      <c r="AE85" s="89"/>
      <c r="AF85" s="89"/>
      <c r="AG85" s="79"/>
      <c r="AH85" s="79"/>
    </row>
    <row r="86" spans="1:34" hidden="1" x14ac:dyDescent="0.2">
      <c r="A86" s="408"/>
      <c r="B86" s="412"/>
      <c r="C86" s="89">
        <v>24531</v>
      </c>
      <c r="D86" s="412">
        <v>24.5</v>
      </c>
      <c r="E86" s="89">
        <v>37</v>
      </c>
      <c r="F86" s="89">
        <v>5266338</v>
      </c>
      <c r="G86" s="412">
        <f t="shared" si="14"/>
        <v>25.6</v>
      </c>
      <c r="H86" s="415">
        <f t="shared" si="14"/>
        <v>38</v>
      </c>
      <c r="I86" s="415">
        <f t="shared" si="14"/>
        <v>5266344</v>
      </c>
      <c r="J86" s="79"/>
      <c r="K86" s="79"/>
      <c r="L86" s="79"/>
      <c r="M86" s="79"/>
      <c r="N86" s="79"/>
      <c r="O86" s="79"/>
      <c r="P86" s="79"/>
      <c r="Q86" s="79"/>
      <c r="R86" s="209"/>
      <c r="S86" s="269"/>
      <c r="T86" s="356"/>
      <c r="U86" s="89"/>
      <c r="V86" s="89"/>
      <c r="W86" s="89"/>
      <c r="X86" s="89"/>
      <c r="Y86" s="89"/>
      <c r="Z86" s="89"/>
      <c r="AC86" s="79"/>
      <c r="AD86" s="89"/>
      <c r="AE86" s="89"/>
      <c r="AF86" s="89"/>
      <c r="AG86" s="79"/>
      <c r="AH86" s="79"/>
    </row>
    <row r="87" spans="1:34" hidden="1" x14ac:dyDescent="0.2">
      <c r="A87" s="408"/>
      <c r="B87" s="412"/>
      <c r="C87" s="89">
        <v>25621</v>
      </c>
      <c r="D87" s="412">
        <v>25.6</v>
      </c>
      <c r="E87" s="89">
        <v>38</v>
      </c>
      <c r="F87" s="89">
        <v>5266344</v>
      </c>
      <c r="G87" s="412">
        <f t="shared" si="14"/>
        <v>26.5</v>
      </c>
      <c r="H87" s="415">
        <f t="shared" si="14"/>
        <v>38</v>
      </c>
      <c r="I87" s="415">
        <f t="shared" si="14"/>
        <v>5266349</v>
      </c>
      <c r="J87" s="79"/>
      <c r="K87" s="79"/>
      <c r="L87" s="79"/>
      <c r="M87" s="79"/>
      <c r="N87" s="79"/>
      <c r="O87" s="79"/>
      <c r="P87" s="79"/>
      <c r="Q87" s="79"/>
      <c r="R87" s="209"/>
      <c r="S87" s="79"/>
      <c r="T87" s="356"/>
      <c r="U87" s="89"/>
      <c r="V87" s="89"/>
      <c r="W87" s="89"/>
      <c r="X87" s="89"/>
      <c r="Y87" s="89"/>
      <c r="Z87" s="89"/>
      <c r="AC87" s="79"/>
      <c r="AD87" s="89"/>
      <c r="AE87" s="89"/>
      <c r="AF87" s="89"/>
      <c r="AG87" s="79"/>
      <c r="AH87" s="79"/>
    </row>
    <row r="88" spans="1:34" hidden="1" x14ac:dyDescent="0.2">
      <c r="A88" s="408"/>
      <c r="B88" s="412"/>
      <c r="C88" s="89">
        <v>26528</v>
      </c>
      <c r="D88" s="412">
        <v>26.5</v>
      </c>
      <c r="E88" s="89">
        <v>38</v>
      </c>
      <c r="F88" s="89">
        <v>5266349</v>
      </c>
      <c r="G88" s="412">
        <f t="shared" si="14"/>
        <v>27.7</v>
      </c>
      <c r="H88" s="415">
        <f t="shared" si="14"/>
        <v>38</v>
      </c>
      <c r="I88" s="415">
        <f t="shared" si="14"/>
        <v>5266356</v>
      </c>
      <c r="J88" s="79"/>
      <c r="K88" s="79"/>
      <c r="L88" s="79"/>
      <c r="M88" s="79"/>
      <c r="N88" s="79"/>
      <c r="O88" s="79"/>
      <c r="P88" s="79"/>
      <c r="Q88" s="79"/>
      <c r="R88" s="209"/>
      <c r="S88" s="269"/>
      <c r="T88" s="356"/>
      <c r="U88" s="89"/>
      <c r="V88" s="89"/>
      <c r="W88" s="89"/>
      <c r="X88" s="89"/>
      <c r="Y88" s="89"/>
      <c r="Z88" s="89"/>
      <c r="AC88" s="79"/>
      <c r="AD88" s="89"/>
      <c r="AE88" s="89"/>
      <c r="AF88" s="89"/>
      <c r="AG88" s="79"/>
      <c r="AH88" s="79"/>
    </row>
    <row r="89" spans="1:34" hidden="1" x14ac:dyDescent="0.2">
      <c r="A89" s="408"/>
      <c r="B89" s="412"/>
      <c r="C89" s="89">
        <v>27686</v>
      </c>
      <c r="D89" s="412">
        <v>27.7</v>
      </c>
      <c r="E89" s="89">
        <v>38</v>
      </c>
      <c r="F89" s="89">
        <v>5266356</v>
      </c>
      <c r="G89" s="412">
        <f t="shared" si="14"/>
        <v>29.2</v>
      </c>
      <c r="H89" s="415">
        <f t="shared" si="14"/>
        <v>38</v>
      </c>
      <c r="I89" s="415">
        <f t="shared" si="14"/>
        <v>5266362</v>
      </c>
      <c r="J89" s="79"/>
      <c r="K89" s="79"/>
      <c r="L89" s="79"/>
      <c r="M89" s="79"/>
      <c r="N89" s="79"/>
      <c r="O89" s="79"/>
      <c r="P89" s="79"/>
      <c r="Q89" s="79"/>
      <c r="R89" s="209"/>
      <c r="S89" s="89"/>
      <c r="T89" s="356"/>
      <c r="U89" s="89"/>
      <c r="V89" s="89"/>
      <c r="W89" s="89"/>
      <c r="X89" s="89"/>
      <c r="Y89" s="89"/>
      <c r="Z89" s="89"/>
      <c r="AC89" s="79"/>
      <c r="AD89" s="89"/>
      <c r="AE89" s="89"/>
      <c r="AF89" s="89"/>
      <c r="AG89" s="79"/>
      <c r="AH89" s="79"/>
    </row>
    <row r="90" spans="1:34" hidden="1" x14ac:dyDescent="0.2">
      <c r="A90" s="408"/>
      <c r="B90" s="412"/>
      <c r="C90" s="89">
        <v>29157</v>
      </c>
      <c r="D90" s="412">
        <v>29.2</v>
      </c>
      <c r="E90" s="89">
        <v>38</v>
      </c>
      <c r="F90" s="89">
        <v>5266362</v>
      </c>
      <c r="G90" s="412">
        <f t="shared" si="14"/>
        <v>30</v>
      </c>
      <c r="H90" s="415">
        <f t="shared" si="14"/>
        <v>39</v>
      </c>
      <c r="I90" s="415">
        <f t="shared" si="14"/>
        <v>5266367</v>
      </c>
      <c r="J90" s="79"/>
      <c r="K90" s="79"/>
      <c r="L90" s="79"/>
      <c r="M90" s="79"/>
      <c r="N90" s="79"/>
      <c r="O90" s="79"/>
      <c r="P90" s="79"/>
      <c r="Q90" s="79"/>
      <c r="R90" s="209"/>
      <c r="S90" s="89"/>
      <c r="T90" s="356"/>
      <c r="U90" s="89"/>
      <c r="V90" s="89"/>
      <c r="W90" s="89"/>
      <c r="X90" s="89"/>
      <c r="Y90" s="89"/>
      <c r="Z90" s="89"/>
      <c r="AC90" s="79"/>
      <c r="AD90" s="89"/>
      <c r="AE90" s="89"/>
      <c r="AF90" s="89"/>
      <c r="AG90" s="79"/>
      <c r="AH90" s="79"/>
    </row>
    <row r="91" spans="1:34" hidden="1" x14ac:dyDescent="0.2">
      <c r="A91" s="408"/>
      <c r="B91" s="412"/>
      <c r="C91" s="89">
        <v>29954</v>
      </c>
      <c r="D91" s="412">
        <v>30</v>
      </c>
      <c r="E91" s="89">
        <v>39</v>
      </c>
      <c r="F91" s="89">
        <v>5266367</v>
      </c>
      <c r="G91" s="412">
        <f t="shared" si="14"/>
        <v>31</v>
      </c>
      <c r="H91" s="415">
        <f t="shared" si="14"/>
        <v>39</v>
      </c>
      <c r="I91" s="415">
        <f t="shared" si="14"/>
        <v>5266373</v>
      </c>
      <c r="J91" s="79"/>
      <c r="K91" s="79"/>
      <c r="L91" s="79"/>
      <c r="M91" s="79"/>
      <c r="N91" s="79"/>
      <c r="O91" s="79"/>
      <c r="P91" s="79"/>
      <c r="Q91" s="79"/>
      <c r="R91" s="209"/>
      <c r="S91" s="89"/>
      <c r="T91" s="356"/>
      <c r="U91" s="89"/>
      <c r="V91" s="89"/>
      <c r="W91" s="89"/>
      <c r="X91" s="89"/>
      <c r="Y91" s="89"/>
      <c r="Z91" s="89"/>
      <c r="AC91" s="79"/>
      <c r="AD91" s="89"/>
      <c r="AE91" s="89"/>
      <c r="AF91" s="89"/>
      <c r="AG91" s="79"/>
      <c r="AH91" s="79"/>
    </row>
    <row r="92" spans="1:34" hidden="1" x14ac:dyDescent="0.2">
      <c r="A92" s="408"/>
      <c r="B92" s="412"/>
      <c r="C92" s="89">
        <v>30976</v>
      </c>
      <c r="D92" s="412">
        <v>31</v>
      </c>
      <c r="E92" s="89">
        <v>39</v>
      </c>
      <c r="F92" s="89">
        <v>5266373</v>
      </c>
      <c r="G92" s="412">
        <f t="shared" si="14"/>
        <v>32.299999999999997</v>
      </c>
      <c r="H92" s="415">
        <f t="shared" si="14"/>
        <v>40</v>
      </c>
      <c r="I92" s="415">
        <f t="shared" si="14"/>
        <v>5266379</v>
      </c>
      <c r="J92" s="79"/>
      <c r="K92" s="79"/>
      <c r="L92" s="79"/>
      <c r="M92" s="79"/>
      <c r="N92" s="79"/>
      <c r="O92" s="79"/>
      <c r="P92" s="79"/>
      <c r="Q92" s="79"/>
      <c r="R92" s="209"/>
      <c r="S92" s="89"/>
      <c r="T92" s="356"/>
      <c r="U92" s="89"/>
      <c r="V92" s="89"/>
      <c r="W92" s="89"/>
      <c r="X92" s="89"/>
      <c r="Y92" s="89"/>
      <c r="Z92" s="89"/>
      <c r="AC92" s="79"/>
      <c r="AD92" s="89"/>
      <c r="AE92" s="89"/>
      <c r="AF92" s="89"/>
      <c r="AG92" s="79"/>
      <c r="AH92" s="79"/>
    </row>
    <row r="93" spans="1:34" hidden="1" x14ac:dyDescent="0.2">
      <c r="A93" s="408"/>
      <c r="B93" s="412"/>
      <c r="C93" s="89">
        <v>32260</v>
      </c>
      <c r="D93" s="412">
        <v>32.299999999999997</v>
      </c>
      <c r="E93" s="89">
        <v>40</v>
      </c>
      <c r="F93" s="89">
        <v>5266379</v>
      </c>
      <c r="G93" s="412">
        <f t="shared" si="14"/>
        <v>33.6</v>
      </c>
      <c r="H93" s="415">
        <f t="shared" si="14"/>
        <v>40</v>
      </c>
      <c r="I93" s="415">
        <f t="shared" si="14"/>
        <v>5266385</v>
      </c>
      <c r="J93" s="79"/>
      <c r="K93" s="79"/>
      <c r="L93" s="79"/>
      <c r="M93" s="79"/>
      <c r="N93" s="79"/>
      <c r="O93" s="79"/>
      <c r="P93" s="79"/>
      <c r="Q93" s="79"/>
      <c r="R93" s="209"/>
      <c r="S93" s="89"/>
      <c r="T93" s="356"/>
      <c r="U93" s="89"/>
      <c r="V93" s="89"/>
      <c r="W93" s="89"/>
      <c r="X93" s="89"/>
      <c r="Y93" s="89"/>
      <c r="Z93" s="89"/>
      <c r="AC93" s="79"/>
      <c r="AD93" s="89"/>
      <c r="AE93" s="89"/>
      <c r="AF93" s="89"/>
      <c r="AG93" s="79"/>
      <c r="AH93" s="79"/>
    </row>
    <row r="94" spans="1:34" hidden="1" x14ac:dyDescent="0.2">
      <c r="A94" s="408"/>
      <c r="B94" s="412"/>
      <c r="C94" s="89">
        <v>33565</v>
      </c>
      <c r="D94" s="412">
        <v>33.6</v>
      </c>
      <c r="E94" s="89">
        <v>40</v>
      </c>
      <c r="F94" s="89">
        <v>5266385</v>
      </c>
      <c r="G94" s="412">
        <f t="shared" si="14"/>
        <v>35</v>
      </c>
      <c r="H94" s="415">
        <f t="shared" si="14"/>
        <v>40</v>
      </c>
      <c r="I94" s="415">
        <f t="shared" si="14"/>
        <v>5266391</v>
      </c>
      <c r="J94" s="79"/>
      <c r="K94" s="79"/>
      <c r="L94" s="79"/>
      <c r="M94" s="79"/>
      <c r="N94" s="79"/>
      <c r="O94" s="79"/>
      <c r="P94" s="79"/>
      <c r="Q94" s="79"/>
      <c r="R94" s="209"/>
      <c r="S94" s="89"/>
      <c r="T94" s="356"/>
      <c r="U94" s="89"/>
      <c r="V94" s="89"/>
      <c r="W94" s="89"/>
      <c r="X94" s="89"/>
      <c r="Y94" s="89"/>
      <c r="Z94" s="89"/>
      <c r="AC94" s="79"/>
      <c r="AD94" s="89"/>
      <c r="AE94" s="89"/>
      <c r="AF94" s="89"/>
      <c r="AG94" s="79"/>
      <c r="AH94" s="79"/>
    </row>
    <row r="95" spans="1:34" hidden="1" x14ac:dyDescent="0.2">
      <c r="A95" s="408"/>
      <c r="B95" s="412"/>
      <c r="C95" s="89">
        <v>34953</v>
      </c>
      <c r="D95" s="412">
        <v>35</v>
      </c>
      <c r="E95" s="89">
        <v>40</v>
      </c>
      <c r="F95" s="89">
        <v>5266391</v>
      </c>
      <c r="G95" s="412">
        <f t="shared" si="14"/>
        <v>36.299999999999997</v>
      </c>
      <c r="H95" s="415">
        <f t="shared" si="14"/>
        <v>42</v>
      </c>
      <c r="I95" s="415">
        <f t="shared" si="14"/>
        <v>5266393</v>
      </c>
      <c r="J95" s="79"/>
      <c r="K95" s="79"/>
      <c r="L95" s="79"/>
      <c r="M95" s="79"/>
      <c r="N95" s="79"/>
      <c r="O95" s="79"/>
      <c r="P95" s="79"/>
      <c r="Q95" s="79"/>
      <c r="R95" s="209"/>
      <c r="S95" s="89"/>
      <c r="T95" s="356"/>
      <c r="U95" s="89"/>
      <c r="V95" s="89"/>
      <c r="W95" s="89"/>
      <c r="X95" s="89"/>
      <c r="Y95" s="89"/>
      <c r="Z95" s="89"/>
      <c r="AC95" s="79"/>
      <c r="AD95" s="89"/>
      <c r="AE95" s="89"/>
      <c r="AF95" s="89"/>
      <c r="AG95" s="79"/>
      <c r="AH95" s="79"/>
    </row>
    <row r="96" spans="1:34" hidden="1" x14ac:dyDescent="0.2">
      <c r="A96" s="408"/>
      <c r="B96" s="412"/>
      <c r="C96" s="89">
        <v>36336</v>
      </c>
      <c r="D96" s="412">
        <v>36.299999999999997</v>
      </c>
      <c r="E96" s="89">
        <v>42</v>
      </c>
      <c r="F96" s="89">
        <v>5266393</v>
      </c>
      <c r="G96" s="412">
        <f t="shared" si="14"/>
        <v>37.700000000000003</v>
      </c>
      <c r="H96" s="415">
        <f t="shared" si="14"/>
        <v>43</v>
      </c>
      <c r="I96" s="415">
        <f t="shared" si="14"/>
        <v>5266398</v>
      </c>
      <c r="J96" s="79"/>
      <c r="K96" s="79"/>
      <c r="L96" s="79"/>
      <c r="M96" s="79"/>
      <c r="N96" s="79"/>
      <c r="O96" s="79"/>
      <c r="P96" s="79"/>
      <c r="Q96" s="79"/>
      <c r="R96" s="209"/>
      <c r="S96" s="89"/>
      <c r="T96" s="356"/>
      <c r="U96" s="89"/>
      <c r="V96" s="89"/>
      <c r="W96" s="89"/>
      <c r="X96" s="89"/>
      <c r="Y96" s="89"/>
      <c r="Z96" s="89"/>
      <c r="AC96" s="79"/>
      <c r="AD96" s="89"/>
      <c r="AE96" s="89"/>
      <c r="AF96" s="89"/>
      <c r="AG96" s="79"/>
      <c r="AH96" s="79"/>
    </row>
    <row r="97" spans="1:34" hidden="1" x14ac:dyDescent="0.2">
      <c r="A97" s="408"/>
      <c r="B97" s="412"/>
      <c r="C97" s="89">
        <v>37685</v>
      </c>
      <c r="D97" s="412">
        <v>37.700000000000003</v>
      </c>
      <c r="E97" s="89">
        <v>43</v>
      </c>
      <c r="F97" s="89">
        <v>5266398</v>
      </c>
      <c r="G97" s="412">
        <f t="shared" si="14"/>
        <v>38.6</v>
      </c>
      <c r="H97" s="415">
        <f t="shared" si="14"/>
        <v>44</v>
      </c>
      <c r="I97" s="415">
        <f t="shared" si="14"/>
        <v>5266400</v>
      </c>
      <c r="J97" s="79"/>
      <c r="K97" s="79"/>
      <c r="L97" s="79"/>
      <c r="M97" s="79"/>
      <c r="N97" s="79"/>
      <c r="O97" s="79"/>
      <c r="P97" s="79"/>
      <c r="Q97" s="79"/>
      <c r="R97" s="209"/>
      <c r="S97" s="89"/>
      <c r="T97" s="356"/>
      <c r="U97" s="89"/>
      <c r="V97" s="89"/>
      <c r="W97" s="89"/>
      <c r="X97" s="89"/>
      <c r="Y97" s="89"/>
      <c r="Z97" s="89"/>
      <c r="AC97" s="79"/>
      <c r="AD97" s="89"/>
      <c r="AE97" s="89"/>
      <c r="AF97" s="89"/>
      <c r="AG97" s="79"/>
      <c r="AH97" s="79"/>
    </row>
    <row r="98" spans="1:34" hidden="1" x14ac:dyDescent="0.2">
      <c r="A98" s="408"/>
      <c r="B98" s="412"/>
      <c r="C98" s="89">
        <v>38607</v>
      </c>
      <c r="D98" s="412">
        <v>38.6</v>
      </c>
      <c r="E98" s="89">
        <v>44</v>
      </c>
      <c r="F98" s="89">
        <v>5266400</v>
      </c>
      <c r="G98" s="412">
        <f t="shared" si="14"/>
        <v>41</v>
      </c>
      <c r="H98" s="415">
        <f t="shared" si="14"/>
        <v>46</v>
      </c>
      <c r="I98" s="415">
        <f t="shared" si="14"/>
        <v>5266407</v>
      </c>
      <c r="J98" s="79"/>
      <c r="K98" s="79"/>
      <c r="L98" s="79"/>
      <c r="M98" s="79"/>
      <c r="N98" s="79"/>
      <c r="O98" s="79"/>
      <c r="P98" s="79"/>
      <c r="Q98" s="79"/>
      <c r="R98" s="209"/>
      <c r="S98" s="89"/>
      <c r="T98" s="356"/>
      <c r="U98" s="89"/>
      <c r="V98" s="89"/>
      <c r="W98" s="89"/>
      <c r="X98" s="89"/>
      <c r="Y98" s="89"/>
      <c r="Z98" s="89"/>
      <c r="AC98" s="79"/>
      <c r="AD98" s="89"/>
      <c r="AE98" s="89"/>
      <c r="AF98" s="89"/>
      <c r="AG98" s="79"/>
      <c r="AH98" s="79"/>
    </row>
    <row r="99" spans="1:34" hidden="1" x14ac:dyDescent="0.2">
      <c r="A99" s="408"/>
      <c r="B99" s="412"/>
      <c r="C99" s="89">
        <v>40971</v>
      </c>
      <c r="D99" s="412">
        <v>41</v>
      </c>
      <c r="E99" s="89">
        <v>46</v>
      </c>
      <c r="F99" s="89">
        <v>5266407</v>
      </c>
      <c r="G99" s="412">
        <f t="shared" si="14"/>
        <v>45</v>
      </c>
      <c r="H99" s="415">
        <f t="shared" si="14"/>
        <v>49</v>
      </c>
      <c r="I99" s="412" t="str">
        <f t="shared" si="14"/>
        <v>5266407H</v>
      </c>
      <c r="J99" s="79"/>
      <c r="K99" s="79"/>
      <c r="L99" s="79"/>
      <c r="M99" s="79"/>
      <c r="N99" s="79"/>
      <c r="O99" s="79"/>
      <c r="P99" s="79"/>
      <c r="Q99" s="79"/>
      <c r="R99" s="209"/>
      <c r="S99" s="89"/>
      <c r="T99" s="356"/>
      <c r="U99" s="89"/>
      <c r="V99" s="89"/>
      <c r="W99" s="89"/>
      <c r="X99" s="89"/>
      <c r="Y99" s="89"/>
      <c r="Z99" s="89"/>
      <c r="AC99" s="79"/>
      <c r="AD99" s="89"/>
      <c r="AE99" s="89"/>
      <c r="AF99" s="89"/>
      <c r="AG99" s="79"/>
      <c r="AH99" s="79"/>
    </row>
    <row r="100" spans="1:34" hidden="1" x14ac:dyDescent="0.2">
      <c r="A100" s="408"/>
      <c r="B100" s="412"/>
      <c r="C100" s="89">
        <v>45000</v>
      </c>
      <c r="D100" s="412">
        <v>45</v>
      </c>
      <c r="E100" s="89">
        <v>49</v>
      </c>
      <c r="F100" s="89" t="s">
        <v>171</v>
      </c>
      <c r="G100" s="412">
        <f>D100</f>
        <v>45</v>
      </c>
      <c r="H100" s="415">
        <f>E100</f>
        <v>49</v>
      </c>
      <c r="I100" s="412" t="str">
        <f>F100</f>
        <v>5266407H</v>
      </c>
      <c r="J100" s="79"/>
      <c r="K100" s="79"/>
      <c r="L100" s="79"/>
      <c r="M100" s="79"/>
      <c r="N100" s="79"/>
      <c r="O100" s="79"/>
      <c r="P100" s="79"/>
      <c r="Q100" s="79"/>
      <c r="R100" s="209"/>
      <c r="S100" s="89"/>
      <c r="T100" s="356"/>
      <c r="U100" s="89"/>
      <c r="V100" s="89"/>
      <c r="W100" s="89"/>
      <c r="X100" s="89"/>
      <c r="Y100" s="89"/>
      <c r="Z100" s="89"/>
      <c r="AC100" s="79"/>
      <c r="AD100" s="89"/>
      <c r="AE100" s="89"/>
      <c r="AF100" s="89"/>
      <c r="AG100" s="79"/>
      <c r="AH100" s="79"/>
    </row>
    <row r="101" spans="1:34" ht="13.5" hidden="1" thickBot="1" x14ac:dyDescent="0.25">
      <c r="A101" s="409"/>
      <c r="B101" s="107"/>
      <c r="C101" s="107"/>
      <c r="D101" s="208"/>
      <c r="E101" s="208"/>
      <c r="F101" s="208"/>
      <c r="G101" s="208"/>
      <c r="H101" s="420"/>
      <c r="I101" s="208"/>
      <c r="J101" s="208"/>
      <c r="K101" s="208"/>
      <c r="L101" s="208"/>
      <c r="M101" s="208"/>
      <c r="N101" s="420"/>
      <c r="O101" s="79"/>
      <c r="P101" s="79"/>
      <c r="Q101" s="79"/>
      <c r="R101" s="209"/>
      <c r="S101" s="89"/>
      <c r="T101" s="356"/>
      <c r="U101" s="89"/>
      <c r="V101" s="89"/>
      <c r="W101" s="89"/>
      <c r="X101" s="89"/>
      <c r="Y101" s="89"/>
      <c r="Z101" s="89"/>
      <c r="AC101" s="79"/>
      <c r="AD101" s="79"/>
      <c r="AE101" s="79"/>
      <c r="AF101" s="79"/>
      <c r="AG101" s="79"/>
      <c r="AH101" s="79"/>
    </row>
    <row r="102" spans="1:34" ht="12.75" hidden="1" customHeight="1" thickTop="1" x14ac:dyDescent="0.2">
      <c r="A102" s="421" t="s">
        <v>74</v>
      </c>
      <c r="B102" s="121" t="s">
        <v>59</v>
      </c>
      <c r="C102" s="122" t="s">
        <v>107</v>
      </c>
      <c r="D102" s="79"/>
      <c r="E102" s="79"/>
      <c r="F102" s="79"/>
      <c r="G102" s="79"/>
      <c r="H102" s="79"/>
      <c r="I102" s="79"/>
      <c r="J102" s="79"/>
      <c r="K102" s="79"/>
      <c r="L102" s="79"/>
      <c r="M102" s="79"/>
      <c r="N102" s="79"/>
      <c r="O102" s="79"/>
      <c r="P102" s="79"/>
      <c r="Q102" s="79"/>
      <c r="R102" s="209"/>
      <c r="S102" s="89"/>
      <c r="T102" s="356"/>
      <c r="U102" s="89"/>
      <c r="V102" s="89"/>
      <c r="W102" s="89"/>
      <c r="X102" s="89"/>
      <c r="Y102" s="89"/>
      <c r="Z102" s="89"/>
    </row>
    <row r="103" spans="1:34" ht="12.75" hidden="1" customHeight="1" x14ac:dyDescent="0.25">
      <c r="A103" s="422" t="s">
        <v>122</v>
      </c>
      <c r="B103" s="423" t="s">
        <v>109</v>
      </c>
      <c r="C103" s="424" t="s">
        <v>110</v>
      </c>
      <c r="D103" s="79"/>
      <c r="E103" s="79"/>
      <c r="F103" s="79"/>
      <c r="G103" s="79"/>
      <c r="H103" s="79"/>
      <c r="I103" s="79"/>
      <c r="J103" s="79"/>
      <c r="K103" s="79"/>
      <c r="L103" s="425"/>
      <c r="M103" s="426"/>
      <c r="N103" s="426"/>
      <c r="O103" s="426"/>
      <c r="P103" s="426"/>
      <c r="Q103" s="426"/>
      <c r="R103" s="209"/>
      <c r="S103" s="89"/>
      <c r="T103" s="356"/>
      <c r="U103" s="89"/>
      <c r="V103" s="89"/>
      <c r="W103" s="89"/>
      <c r="X103" s="89"/>
      <c r="Y103" s="89"/>
      <c r="Z103" s="89"/>
    </row>
    <row r="104" spans="1:34" ht="14.25" hidden="1" x14ac:dyDescent="0.2">
      <c r="A104" s="422" t="s">
        <v>76</v>
      </c>
      <c r="B104" s="427"/>
      <c r="C104" s="428"/>
      <c r="D104" s="79"/>
      <c r="E104" s="79"/>
      <c r="F104" s="79"/>
      <c r="G104" s="79"/>
      <c r="H104" s="79"/>
      <c r="I104" s="79"/>
      <c r="J104" s="79"/>
      <c r="K104" s="79"/>
      <c r="L104" s="426"/>
      <c r="M104" s="426"/>
      <c r="N104" s="426"/>
      <c r="O104" s="426"/>
      <c r="P104" s="426"/>
      <c r="Q104" s="426"/>
      <c r="R104" s="209"/>
      <c r="S104" s="89"/>
      <c r="T104" s="356"/>
      <c r="U104" s="89"/>
      <c r="V104" s="89"/>
      <c r="W104" s="89"/>
      <c r="X104" s="89"/>
      <c r="Y104" s="89"/>
      <c r="Z104" s="89"/>
    </row>
    <row r="105" spans="1:34" ht="15" hidden="1" x14ac:dyDescent="0.25">
      <c r="A105" s="429"/>
      <c r="B105" s="427"/>
      <c r="C105" s="430"/>
      <c r="D105" s="79"/>
      <c r="E105" s="79"/>
      <c r="F105" s="79"/>
      <c r="G105" s="79"/>
      <c r="H105" s="79"/>
      <c r="I105" s="79"/>
      <c r="J105" s="79"/>
      <c r="K105" s="79"/>
      <c r="L105" s="431"/>
      <c r="M105" s="431"/>
      <c r="N105" s="425"/>
      <c r="O105" s="425"/>
      <c r="P105" s="425"/>
      <c r="Q105" s="425"/>
      <c r="R105" s="209"/>
      <c r="S105" s="89"/>
      <c r="T105" s="356"/>
      <c r="U105" s="89"/>
      <c r="V105" s="89"/>
      <c r="W105" s="89"/>
      <c r="X105" s="89"/>
      <c r="Y105" s="89"/>
      <c r="Z105" s="89"/>
    </row>
    <row r="106" spans="1:34" ht="15" hidden="1" x14ac:dyDescent="0.25">
      <c r="A106" s="432">
        <v>50</v>
      </c>
      <c r="B106" s="433" t="s">
        <v>130</v>
      </c>
      <c r="C106" s="434">
        <v>1</v>
      </c>
      <c r="D106" s="79"/>
      <c r="E106" s="79"/>
      <c r="F106" s="79"/>
      <c r="G106" s="79"/>
      <c r="H106" s="79"/>
      <c r="I106" s="79"/>
      <c r="J106" s="79"/>
      <c r="K106" s="79"/>
      <c r="L106" s="431"/>
      <c r="M106" s="431"/>
      <c r="N106" s="431"/>
      <c r="O106" s="431"/>
      <c r="P106" s="435"/>
      <c r="Q106" s="425"/>
      <c r="R106" s="209"/>
      <c r="S106" s="89"/>
      <c r="T106" s="356"/>
      <c r="U106" s="89"/>
      <c r="V106" s="89"/>
      <c r="W106" s="89"/>
      <c r="X106" s="89"/>
      <c r="Y106" s="89"/>
      <c r="Z106" s="89"/>
    </row>
    <row r="107" spans="1:34" ht="15" hidden="1" x14ac:dyDescent="0.25">
      <c r="A107" s="422">
        <v>65</v>
      </c>
      <c r="B107" s="436" t="s">
        <v>130</v>
      </c>
      <c r="C107" s="424">
        <v>1</v>
      </c>
      <c r="D107" s="79"/>
      <c r="E107" s="79"/>
      <c r="F107" s="79"/>
      <c r="G107" s="79"/>
      <c r="H107" s="79"/>
      <c r="I107" s="79"/>
      <c r="J107" s="79"/>
      <c r="K107" s="79"/>
      <c r="L107" s="431"/>
      <c r="M107" s="431"/>
      <c r="N107" s="425"/>
      <c r="O107" s="425"/>
      <c r="P107" s="437"/>
      <c r="Q107" s="425"/>
      <c r="R107" s="209"/>
      <c r="S107" s="89"/>
      <c r="T107" s="356"/>
      <c r="U107" s="89"/>
      <c r="V107" s="89"/>
      <c r="W107" s="89"/>
      <c r="X107" s="89"/>
      <c r="Y107" s="89"/>
      <c r="Z107" s="89"/>
    </row>
    <row r="108" spans="1:34" ht="15" hidden="1" x14ac:dyDescent="0.25">
      <c r="A108" s="432">
        <v>80</v>
      </c>
      <c r="B108" s="433" t="s">
        <v>130</v>
      </c>
      <c r="C108" s="434">
        <v>1</v>
      </c>
      <c r="D108" s="79"/>
      <c r="E108" s="79"/>
      <c r="F108" s="79"/>
      <c r="G108" s="79"/>
      <c r="H108" s="79"/>
      <c r="I108" s="79"/>
      <c r="J108" s="79"/>
      <c r="K108" s="79"/>
      <c r="L108" s="431"/>
      <c r="M108" s="431"/>
      <c r="N108" s="425"/>
      <c r="O108" s="425"/>
      <c r="P108" s="438"/>
      <c r="Q108" s="425"/>
      <c r="R108" s="82"/>
    </row>
    <row r="109" spans="1:34" ht="15" hidden="1" x14ac:dyDescent="0.25">
      <c r="A109" s="422">
        <v>100</v>
      </c>
      <c r="B109" s="439" t="s">
        <v>131</v>
      </c>
      <c r="C109" s="424">
        <v>2</v>
      </c>
      <c r="D109" s="79"/>
      <c r="E109" s="79"/>
      <c r="F109" s="79"/>
      <c r="G109" s="79"/>
      <c r="H109" s="79"/>
      <c r="I109" s="79"/>
      <c r="J109" s="79"/>
      <c r="K109" s="79"/>
      <c r="L109" s="431"/>
      <c r="M109" s="431"/>
      <c r="N109" s="425"/>
      <c r="O109" s="425"/>
      <c r="P109" s="425"/>
      <c r="Q109" s="425"/>
      <c r="R109" s="82"/>
    </row>
    <row r="110" spans="1:34" ht="15" hidden="1" x14ac:dyDescent="0.25">
      <c r="A110" s="432">
        <v>125</v>
      </c>
      <c r="B110" s="433" t="s">
        <v>132</v>
      </c>
      <c r="C110" s="434">
        <v>3</v>
      </c>
      <c r="D110" s="79"/>
      <c r="E110" s="79"/>
      <c r="F110" s="79"/>
      <c r="G110" s="79"/>
      <c r="H110" s="79"/>
      <c r="I110" s="79"/>
      <c r="J110" s="79"/>
      <c r="K110" s="79"/>
      <c r="L110" s="437"/>
      <c r="M110" s="431"/>
      <c r="N110" s="440"/>
      <c r="O110" s="425"/>
      <c r="P110" s="441"/>
      <c r="Q110" s="425"/>
      <c r="R110" s="82"/>
    </row>
    <row r="111" spans="1:34" ht="15" hidden="1" x14ac:dyDescent="0.25">
      <c r="A111" s="422">
        <v>150</v>
      </c>
      <c r="B111" s="439" t="s">
        <v>133</v>
      </c>
      <c r="C111" s="424">
        <v>4</v>
      </c>
      <c r="D111" s="79"/>
      <c r="E111" s="79"/>
      <c r="F111" s="79"/>
      <c r="G111" s="79"/>
      <c r="H111" s="79"/>
      <c r="I111" s="79"/>
      <c r="J111" s="79"/>
      <c r="K111" s="79"/>
      <c r="L111" s="437"/>
      <c r="M111" s="431"/>
      <c r="N111" s="440"/>
      <c r="O111" s="425"/>
      <c r="P111" s="441"/>
      <c r="Q111" s="425"/>
      <c r="R111" s="82"/>
    </row>
    <row r="112" spans="1:34" ht="15" hidden="1" x14ac:dyDescent="0.25">
      <c r="A112" s="432">
        <v>200</v>
      </c>
      <c r="B112" s="433" t="s">
        <v>134</v>
      </c>
      <c r="C112" s="434">
        <v>7</v>
      </c>
      <c r="D112" s="79"/>
      <c r="E112" s="79"/>
      <c r="F112" s="79"/>
      <c r="G112" s="79"/>
      <c r="H112" s="79"/>
      <c r="I112" s="79"/>
      <c r="J112" s="79"/>
      <c r="K112" s="79"/>
      <c r="L112" s="442"/>
      <c r="M112" s="431"/>
      <c r="N112" s="425"/>
      <c r="O112" s="425"/>
      <c r="P112" s="425"/>
      <c r="Q112" s="425"/>
      <c r="R112" s="82"/>
    </row>
    <row r="113" spans="1:20" hidden="1" x14ac:dyDescent="0.2">
      <c r="A113" s="422">
        <v>250</v>
      </c>
      <c r="B113" s="439" t="s">
        <v>135</v>
      </c>
      <c r="C113" s="424">
        <v>12</v>
      </c>
      <c r="D113" s="79"/>
      <c r="E113" s="79"/>
      <c r="F113" s="79"/>
      <c r="G113" s="79"/>
      <c r="H113" s="79"/>
      <c r="I113" s="79"/>
      <c r="J113" s="79"/>
      <c r="K113" s="79"/>
      <c r="L113" s="174"/>
      <c r="M113" s="174"/>
      <c r="N113" s="79"/>
      <c r="O113" s="79"/>
      <c r="P113" s="79"/>
      <c r="Q113" s="79"/>
      <c r="R113" s="82"/>
      <c r="S113" s="79"/>
      <c r="T113" s="174"/>
    </row>
    <row r="114" spans="1:20" hidden="1" x14ac:dyDescent="0.2">
      <c r="A114" s="432">
        <v>300</v>
      </c>
      <c r="B114" s="433" t="s">
        <v>136</v>
      </c>
      <c r="C114" s="434">
        <v>15</v>
      </c>
      <c r="D114" s="79"/>
      <c r="E114" s="79"/>
      <c r="F114" s="79"/>
      <c r="G114" s="79"/>
      <c r="H114" s="79"/>
      <c r="I114" s="79"/>
      <c r="J114" s="79"/>
      <c r="K114" s="79"/>
      <c r="L114" s="174"/>
      <c r="M114" s="174"/>
      <c r="N114" s="79"/>
      <c r="O114" s="79"/>
      <c r="P114" s="79"/>
      <c r="Q114" s="79"/>
      <c r="R114" s="82"/>
      <c r="S114" s="79"/>
      <c r="T114" s="174"/>
    </row>
    <row r="115" spans="1:20" hidden="1" x14ac:dyDescent="0.2">
      <c r="A115" s="422">
        <v>350</v>
      </c>
      <c r="B115" s="439" t="s">
        <v>137</v>
      </c>
      <c r="C115" s="424">
        <v>19</v>
      </c>
      <c r="D115" s="79"/>
      <c r="E115" s="79"/>
      <c r="F115" s="79"/>
      <c r="G115" s="79"/>
      <c r="H115" s="79"/>
      <c r="I115" s="79"/>
      <c r="J115" s="79"/>
      <c r="K115" s="79"/>
      <c r="L115" s="174"/>
      <c r="M115" s="174"/>
      <c r="N115" s="79"/>
      <c r="O115" s="79"/>
      <c r="P115" s="79"/>
      <c r="Q115" s="79"/>
      <c r="R115" s="82"/>
      <c r="S115" s="79"/>
      <c r="T115" s="174"/>
    </row>
    <row r="116" spans="1:20" hidden="1" x14ac:dyDescent="0.2">
      <c r="A116" s="432">
        <v>400</v>
      </c>
      <c r="B116" s="433" t="s">
        <v>138</v>
      </c>
      <c r="C116" s="434">
        <v>26</v>
      </c>
      <c r="D116" s="79"/>
      <c r="E116" s="79"/>
      <c r="F116" s="79"/>
      <c r="G116" s="79"/>
      <c r="H116" s="79"/>
      <c r="I116" s="79"/>
      <c r="J116" s="79"/>
      <c r="K116" s="79"/>
      <c r="L116" s="174"/>
      <c r="M116" s="174"/>
      <c r="N116" s="79"/>
      <c r="O116" s="79"/>
      <c r="P116" s="79"/>
      <c r="Q116" s="79"/>
      <c r="R116" s="82"/>
      <c r="S116" s="79"/>
      <c r="T116" s="174"/>
    </row>
    <row r="117" spans="1:20" hidden="1" x14ac:dyDescent="0.2">
      <c r="A117" s="422">
        <v>450</v>
      </c>
      <c r="B117" s="439" t="s">
        <v>139</v>
      </c>
      <c r="C117" s="424">
        <v>33</v>
      </c>
      <c r="D117" s="79"/>
      <c r="E117" s="79"/>
      <c r="F117" s="79"/>
      <c r="G117" s="79"/>
      <c r="H117" s="79"/>
      <c r="I117" s="79"/>
      <c r="J117" s="79"/>
      <c r="K117" s="79"/>
      <c r="L117" s="174"/>
      <c r="M117" s="174"/>
      <c r="N117" s="79"/>
      <c r="O117" s="79"/>
      <c r="P117" s="79"/>
      <c r="Q117" s="79"/>
      <c r="R117" s="82"/>
      <c r="S117" s="79"/>
      <c r="T117" s="174"/>
    </row>
    <row r="118" spans="1:20" hidden="1" x14ac:dyDescent="0.2">
      <c r="A118" s="432">
        <v>500</v>
      </c>
      <c r="B118" s="433" t="s">
        <v>140</v>
      </c>
      <c r="C118" s="434">
        <v>40</v>
      </c>
      <c r="D118" s="79"/>
      <c r="E118" s="79"/>
      <c r="F118" s="79"/>
      <c r="G118" s="79"/>
      <c r="H118" s="79"/>
      <c r="I118" s="79"/>
      <c r="J118" s="79"/>
      <c r="K118" s="79"/>
      <c r="L118" s="79"/>
      <c r="M118" s="79"/>
      <c r="N118" s="79"/>
      <c r="O118" s="79"/>
      <c r="P118" s="79"/>
      <c r="Q118" s="79"/>
      <c r="R118" s="82"/>
      <c r="S118" s="79"/>
      <c r="T118" s="174"/>
    </row>
    <row r="119" spans="1:20" hidden="1" x14ac:dyDescent="0.2">
      <c r="A119" s="422">
        <v>600</v>
      </c>
      <c r="B119" s="439" t="s">
        <v>141</v>
      </c>
      <c r="C119" s="428">
        <v>56</v>
      </c>
      <c r="D119" s="79"/>
      <c r="E119" s="79"/>
      <c r="F119" s="79"/>
      <c r="G119" s="79"/>
      <c r="H119" s="79"/>
      <c r="I119" s="79"/>
      <c r="J119" s="79"/>
      <c r="K119" s="79"/>
      <c r="L119" s="79"/>
      <c r="M119" s="79"/>
      <c r="N119" s="79"/>
      <c r="O119" s="79"/>
      <c r="P119" s="79"/>
      <c r="Q119" s="79"/>
      <c r="R119" s="82"/>
    </row>
    <row r="120" spans="1:20" ht="13.5" hidden="1" thickBot="1" x14ac:dyDescent="0.25">
      <c r="A120" s="443">
        <v>800</v>
      </c>
      <c r="B120" s="444" t="s">
        <v>142</v>
      </c>
      <c r="C120" s="445">
        <v>85</v>
      </c>
      <c r="D120" s="111"/>
      <c r="E120" s="111"/>
      <c r="F120" s="111"/>
      <c r="G120" s="111"/>
      <c r="H120" s="111"/>
      <c r="I120" s="111"/>
      <c r="J120" s="111"/>
      <c r="K120" s="111"/>
      <c r="L120" s="111"/>
      <c r="M120" s="111"/>
      <c r="N120" s="111"/>
      <c r="O120" s="111"/>
      <c r="P120" s="111"/>
      <c r="Q120" s="111"/>
      <c r="R120" s="113"/>
    </row>
    <row r="121" spans="1:20" ht="13.5" thickTop="1" x14ac:dyDescent="0.2"/>
  </sheetData>
  <sheetProtection password="9D73" sheet="1"/>
  <mergeCells count="9">
    <mergeCell ref="A1:R2"/>
    <mergeCell ref="N11:Q11"/>
    <mergeCell ref="C52:I52"/>
    <mergeCell ref="C53:F53"/>
    <mergeCell ref="G53:I53"/>
    <mergeCell ref="D21:E21"/>
    <mergeCell ref="D19:E19"/>
    <mergeCell ref="B4:F4"/>
    <mergeCell ref="B5:F5"/>
  </mergeCells>
  <pageMargins left="0.19685039370078741" right="0.19685039370078741" top="0.59055118110236227" bottom="0.19685039370078741" header="0.51181102362204722" footer="0.51181102362204722"/>
  <pageSetup paperSize="9" scale="9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heetViews>
  <sheetFormatPr baseColWidth="10" defaultRowHeight="12.75" x14ac:dyDescent="0.2"/>
  <cols>
    <col min="1" max="1" width="1.140625" customWidth="1"/>
    <col min="2" max="2" width="64.42578125" customWidth="1"/>
    <col min="3" max="3" width="1.5703125" customWidth="1"/>
    <col min="4" max="4" width="5.5703125" customWidth="1"/>
    <col min="5" max="6" width="16" customWidth="1"/>
  </cols>
  <sheetData>
    <row r="1" spans="2:6" x14ac:dyDescent="0.2">
      <c r="B1" s="556" t="s">
        <v>348</v>
      </c>
      <c r="C1" s="556"/>
      <c r="D1" s="560"/>
      <c r="E1" s="560"/>
      <c r="F1" s="560"/>
    </row>
    <row r="2" spans="2:6" x14ac:dyDescent="0.2">
      <c r="B2" s="556" t="s">
        <v>349</v>
      </c>
      <c r="C2" s="556"/>
      <c r="D2" s="560"/>
      <c r="E2" s="560"/>
      <c r="F2" s="560"/>
    </row>
    <row r="3" spans="2:6" x14ac:dyDescent="0.2">
      <c r="B3" s="557"/>
      <c r="C3" s="557"/>
      <c r="D3" s="561"/>
      <c r="E3" s="561"/>
      <c r="F3" s="561"/>
    </row>
    <row r="4" spans="2:6" ht="63.75" x14ac:dyDescent="0.2">
      <c r="B4" s="557" t="s">
        <v>350</v>
      </c>
      <c r="C4" s="557"/>
      <c r="D4" s="561"/>
      <c r="E4" s="561"/>
      <c r="F4" s="561"/>
    </row>
    <row r="5" spans="2:6" x14ac:dyDescent="0.2">
      <c r="B5" s="557"/>
      <c r="C5" s="557"/>
      <c r="D5" s="561"/>
      <c r="E5" s="561"/>
      <c r="F5" s="561"/>
    </row>
    <row r="6" spans="2:6" ht="25.5" x14ac:dyDescent="0.2">
      <c r="B6" s="556" t="s">
        <v>351</v>
      </c>
      <c r="C6" s="556"/>
      <c r="D6" s="560"/>
      <c r="E6" s="560" t="s">
        <v>352</v>
      </c>
      <c r="F6" s="560" t="s">
        <v>353</v>
      </c>
    </row>
    <row r="7" spans="2:6" ht="13.5" thickBot="1" x14ac:dyDescent="0.25">
      <c r="B7" s="557"/>
      <c r="C7" s="557"/>
      <c r="D7" s="561"/>
      <c r="E7" s="561"/>
      <c r="F7" s="561"/>
    </row>
    <row r="8" spans="2:6" ht="39" thickBot="1" x14ac:dyDescent="0.25">
      <c r="B8" s="558" t="s">
        <v>354</v>
      </c>
      <c r="C8" s="559"/>
      <c r="D8" s="562"/>
      <c r="E8" s="562">
        <v>63</v>
      </c>
      <c r="F8" s="563" t="s">
        <v>355</v>
      </c>
    </row>
    <row r="9" spans="2:6" x14ac:dyDescent="0.2">
      <c r="B9" s="557"/>
      <c r="C9" s="557"/>
      <c r="D9" s="561"/>
      <c r="E9" s="561"/>
      <c r="F9" s="561"/>
    </row>
    <row r="10" spans="2:6" x14ac:dyDescent="0.2">
      <c r="B10" s="557"/>
      <c r="C10" s="557"/>
      <c r="D10" s="561"/>
      <c r="E10" s="561"/>
      <c r="F10" s="561"/>
    </row>
  </sheetData>
  <sheetProtection password="9D73" sheet="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3</vt:i4>
      </vt:variant>
    </vt:vector>
  </HeadingPairs>
  <TitlesOfParts>
    <vt:vector size="9" baseType="lpstr">
      <vt:lpstr>VFL OPTIMA Compact</vt:lpstr>
      <vt:lpstr>VFL OPTIMA</vt:lpstr>
      <vt:lpstr>Frese OPTIMA Flanged</vt:lpstr>
      <vt:lpstr>VAD DN 15-50</vt:lpstr>
      <vt:lpstr>VAD DN 50-800</vt:lpstr>
      <vt:lpstr>Rapport sur la compatibilité</vt:lpstr>
      <vt:lpstr>'Frese OPTIMA Flanged'!Zone_d_impression</vt:lpstr>
      <vt:lpstr>'VFL OPTIMA'!Zone_d_impression</vt:lpstr>
      <vt:lpstr>'VFL OPTIMA Compact'!Zone_d_impression</vt:lpstr>
    </vt:vector>
  </TitlesOfParts>
  <Company>Frese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 Johansen</dc:creator>
  <cp:lastModifiedBy>Fabien Cheret</cp:lastModifiedBy>
  <cp:lastPrinted>2011-08-22T10:55:36Z</cp:lastPrinted>
  <dcterms:created xsi:type="dcterms:W3CDTF">2004-11-24T15:05:14Z</dcterms:created>
  <dcterms:modified xsi:type="dcterms:W3CDTF">2016-09-08T13:35:52Z</dcterms:modified>
</cp:coreProperties>
</file>